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122"/>
  <workbookPr/>
  <bookViews>
    <workbookView xWindow="0" yWindow="0" windowWidth="25080" windowHeight="28340" tabRatio="500" activeTab="0"/>
  </bookViews>
  <sheets>
    <sheet name="Aurinkolämmön kannattavuus" sheetId="7" r:id="rId1"/>
  </sheets>
  <definedNames/>
  <calcPr calcId="140001"/>
  <extLst/>
</workbook>
</file>

<file path=xl/comments1.xml><?xml version="1.0" encoding="utf-8"?>
<comments xmlns="http://schemas.openxmlformats.org/spreadsheetml/2006/main">
  <authors>
    <author>Karoliina Auvinen</author>
    <author>Liuksiala Lotta</author>
  </authors>
  <commentList>
    <comment ref="D11" authorId="0">
      <text>
        <r>
          <rPr>
            <sz val="9"/>
            <rFont val="Calibri"/>
            <family val="2"/>
          </rPr>
          <t xml:space="preserve"> Rahoituskulu, eli minkä korkoista lainaa tai muuta rahoitusta investointiin voidaan käyttää.
</t>
        </r>
      </text>
    </comment>
    <comment ref="F17" authorId="0">
      <text>
        <r>
          <rPr>
            <b/>
            <sz val="9"/>
            <rFont val="Calibri"/>
            <family val="2"/>
          </rPr>
          <t>Katso  http://solarelectricityhandbook.com/solar-irradiance.html</t>
        </r>
      </text>
    </comment>
    <comment ref="D38" authorId="0">
      <text>
        <r>
          <rPr>
            <sz val="9"/>
            <rFont val="Calibri"/>
            <family val="2"/>
          </rPr>
          <t xml:space="preserve">Lähde:
MIT; 2015, The Future of Solar Energy – an interdisciplinary MIT study, 5/2015, chapter 5 – Economics of Solar Electricity Generation, s. 107
</t>
        </r>
      </text>
    </comment>
    <comment ref="D46" authorId="0">
      <text>
        <r>
          <rPr>
            <b/>
            <sz val="9"/>
            <rFont val="Calibri"/>
            <family val="2"/>
          </rPr>
          <t>Investoinnin sisäinen korkokanta saadaan säätämällä korkokanta niin että tämä luku on nolla.
 -Jouni Juntunen</t>
        </r>
      </text>
    </comment>
    <comment ref="D48" authorId="1">
      <text>
        <r>
          <rPr>
            <sz val="9"/>
            <rFont val="Tahoma"/>
            <family val="2"/>
          </rPr>
          <t>Investointiin sidotun pääoman tuotto (tai tuotto-odotus).
Tuottoprosentti, kun tarkastellaan investointia koko 30 vuoden jaksolla.
Lisätietoja:
http://users.metropolia.fi/~mikalem/investointilaskenta/5.%20Investoinnit_Sisainen_korkokanta_ROI_190913.pdf</t>
        </r>
      </text>
    </comment>
    <comment ref="F76" authorId="0">
      <text>
        <r>
          <rPr>
            <b/>
            <sz val="9"/>
            <rFont val="Calibri"/>
            <family val="2"/>
          </rPr>
          <t xml:space="preserve">Laskee kumulatiiviset meno- ja kumulatiiviset tulovirrat yhteen määritellyllä laskentakorolla. Positiiviset arvot tarkoittavat stiä, että investointi tuottaa enemmän kuin siihen on mennyt rahaa.  nnattavaa investointia ja negatiiviset kannattamatonta. </t>
        </r>
      </text>
    </comment>
    <comment ref="B108" authorId="0">
      <text>
        <r>
          <rPr>
            <sz val="9"/>
            <rFont val="Calibri"/>
            <family val="2"/>
          </rPr>
          <t>Nettonykyarvo</t>
        </r>
      </text>
    </comment>
    <comment ref="D108" authorId="0">
      <text>
        <r>
          <rPr>
            <b/>
            <sz val="9"/>
            <rFont val="Calibri"/>
            <family val="2"/>
          </rPr>
          <t xml:space="preserve">Nettonykyarvo
</t>
        </r>
      </text>
    </comment>
    <comment ref="G108" authorId="0">
      <text>
        <r>
          <rPr>
            <b/>
            <sz val="9"/>
            <rFont val="Calibri"/>
            <family val="2"/>
          </rPr>
          <t>Takaisinmaksuaika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<sst xmlns="http://schemas.openxmlformats.org/spreadsheetml/2006/main" count="68" uniqueCount="68">
  <si>
    <t>Tammikuu</t>
  </si>
  <si>
    <t>Helmikuu</t>
  </si>
  <si>
    <t>Maaliskuu</t>
  </si>
  <si>
    <t>Aurinkolämmön tuotanto kWh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</si>
  <si>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</si>
  <si>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</si>
  <si>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</si>
  <si>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</si>
  <si>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</si>
  <si>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</si>
  <si>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</si>
  <si>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</si>
  <si>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</si>
  <si>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Takaisinmaksuaika vuotta</t>
  </si>
  <si>
    <t>Linkkejä:</t>
  </si>
  <si>
    <t>http://solarelectricityhandbook.com/solar-irradiance.html</t>
  </si>
  <si>
    <t>Päivien määrä kuukaudessa</t>
  </si>
  <si>
    <t>Investoinnin käyttöikä vuotta</t>
  </si>
  <si>
    <t>Järjestelmän elinikä vuosina</t>
  </si>
  <si>
    <t>Järjestelmän investointikustannus € (laitteet ja asennus)</t>
  </si>
  <si>
    <t>Investointituki, % alkuinvestoinnista</t>
  </si>
  <si>
    <t>Investoinnin sisäinen korkokanta 30 vuoden käyttöiän aikana</t>
  </si>
  <si>
    <t>Täytä lähtötiedot punaisiin soluihin!</t>
  </si>
  <si>
    <t>VUODESSA KESKIMÄÄRIN</t>
  </si>
  <si>
    <t>YHTEENSÄ VUODESSA</t>
  </si>
  <si>
    <t>Järjestelmän mitoittamiseksi täytä tarkemmat tiedot sinisiin soluihin:</t>
  </si>
  <si>
    <t xml:space="preserve">http://www.aurinkovoima.fi/fi/sivut/aurinkoenergia </t>
  </si>
  <si>
    <t>Kassavirta €/v</t>
  </si>
  <si>
    <t>Investoinnin kumulatiivinen tuotto €/v (0% korko)</t>
  </si>
  <si>
    <t>Investoinnin nettonykyarvoja (NPV) valitulla laskentakorolla</t>
  </si>
  <si>
    <t>Investoinnin laskentakorko, esim. pankin korkokulu</t>
  </si>
  <si>
    <t>Oma kiinteistöarvo-, brändi- tai ympäristötuki investoinnille €</t>
  </si>
  <si>
    <t xml:space="preserve">Järjestelmän kustannus tukien jälkeen € </t>
  </si>
  <si>
    <t>Takaisinmaksu-aika (sis. laskentakorko)</t>
  </si>
  <si>
    <t>Investoinnin nettonykyarvo eli kokonaistuotto tai -tappio 30 vuoden käyttöiällä</t>
  </si>
  <si>
    <t>Investointi- ja ylläpitokustannukset €</t>
  </si>
  <si>
    <t>Täytä kohteen kk-kohtainen lämmönkulutus kWh</t>
  </si>
  <si>
    <t>Ylijäämälämmön myyntihinta €/MWh (jos ei hintaa niin laita 0 eur)</t>
  </si>
  <si>
    <t>Aurinkolämmön ylijäämä tai myyntiin menevä määrä kWh</t>
  </si>
  <si>
    <t>Aurinkolämpöä omaan käyttöön kWh</t>
  </si>
  <si>
    <t>Lämmönlähteen hinta, jota aurinkoenergia korvaa tai täydentää €/MWh</t>
  </si>
  <si>
    <t>Aurinkolämmön oman käytön arvo €</t>
  </si>
  <si>
    <t>Aurinkolämmön ylijäämätuotannon myyntihinta €/MWh</t>
  </si>
  <si>
    <t>Aurinkolämpöjärjestelmän koko neliöinä (säädä kokoa sellaiseksi, jolla kannattavuus on mahdollisimman korkea)</t>
  </si>
  <si>
    <t>Ylläpito- ja huoltokulut 30 vuoden elikaaren aikana, % alkuinvestoinnista</t>
  </si>
  <si>
    <t>Aurinkovoimalan vuosittainen energiantuotannon vähenemä %/v</t>
  </si>
  <si>
    <t xml:space="preserve">Arvio ostolämmön hinnan noususta % per vuosi </t>
  </si>
  <si>
    <t>Aurinkolämmön osuus lämmönkulutuksesta</t>
  </si>
  <si>
    <t>Oman lämmöntuotannon arvo ja myyntituotot €</t>
  </si>
  <si>
    <t>Aurinkolämmön tuotto- ja talouslaskelmat elinkaaren aikana</t>
  </si>
  <si>
    <t>Muun lämmön osto- tai tuotantotarve kWh</t>
  </si>
  <si>
    <t>Tarkenna auringon säteily päivässä kWh/m2/vrk sijainnin mukaan</t>
  </si>
  <si>
    <t>Lämmön myyntitulot tai ylijäämän arvo €</t>
  </si>
  <si>
    <t>Vaihtoehtoisen lämmön hinta €/MWh</t>
  </si>
  <si>
    <t>Myyntiin menevän ylijäämälämmön hinta €/MWh</t>
  </si>
  <si>
    <t>Järjestelmän hyötysuhde</t>
  </si>
  <si>
    <t>Auringon säteily Em (kWh/m2/kk)</t>
  </si>
  <si>
    <t>Hyödynnettävän aurinkolämmön tuotantohinta 30 vuoden ajalla €/MWh</t>
  </si>
  <si>
    <t>Kannattavuus</t>
  </si>
  <si>
    <t>Hyödynnettävissä oleva energian tuotanto kWh (käyttö+myynti)</t>
  </si>
  <si>
    <t>Kiinteistön aurinkolämpöjärjestelmän kannattavuus- ja mitoituslaskuri (versio 9/2015)</t>
  </si>
  <si>
    <t>Tarkempien ja luotettavampien laskelmien laatimiseksi täytä tiedot myös sinisiin soluihin:</t>
  </si>
  <si>
    <t>Aurinkolämpöjärjestelmän mitoittamiseksi ja kannattavuuden laskemiseksi täytä lähtötiedot punaisiin soluihin, jotka ovat välttämättömiä lähtötietoja:</t>
  </si>
  <si>
    <t>Lämmön kuluttajahinta veroineen snt/kWh</t>
  </si>
  <si>
    <t>Oletuksia ja välituloksia:</t>
  </si>
  <si>
    <t>Aurinkolämmön myynnin tai ylijäämän osuus % vuodessa</t>
  </si>
  <si>
    <t>Kiinteistön lämmmönkulutus yhteensä vuodessa kWh</t>
  </si>
  <si>
    <t>Aurinkolämpöjärjestelmän vuosituotto (kWh/v)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</si>
</sst>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"/>
    <numFmt numFmtId="165" formatCode="_-[$€-2]\ * #,##0_-;\-[$€-2]\ * #,##0_-;_-[$€-2]\ * &quot;-&quot;??_-;_-@"/>
    <numFmt numFmtId="166" formatCode="_-[$€-2]\ * #,##0.00_-;\-[$€-2]\ * #,##0.00_-;_-[$€-2]\ * &quot;-&quot;??.00_-;_-@"/>
    <numFmt numFmtId="167" formatCode="0.0%"/>
    <numFmt numFmtId="168" formatCode="&quot;€&quot;#,##0"/>
    <numFmt numFmtId="169" formatCode="0.0"/>
    <numFmt numFmtId="170" formatCode="&quot;€&quot;#,##0.00"/>
    <numFmt numFmtId="171" formatCode="#,##0_ ;\-#,##0\ "/>
  </numFmts>
  <fonts count="23">
    <font>
      <sz val="12"/>
      <color rgb="FF000000"/>
      <name val="Calibri"/>
      <family val="2"/>
    </font>
    <font>
      <sz val="10"/>
      <name val="Arial"/>
      <family val="2"/>
    </font>
    <font>
      <sz val="12"/>
      <name val="Calibri"/>
      <family val="2"/>
    </font>
    <font>
      <u val="single"/>
      <sz val="12"/>
      <color theme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color rgb="FF0000FF"/>
      <name val="Calibri"/>
      <family val="2"/>
      <scheme val="minor"/>
    </font>
    <font>
      <u val="single"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3366FF"/>
      <name val="Calibri"/>
      <family val="2"/>
    </font>
    <font>
      <b/>
      <sz val="16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6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" fontId="8" fillId="0" borderId="2" xfId="0" applyNumberFormat="1" applyFont="1" applyBorder="1"/>
    <xf numFmtId="1" fontId="10" fillId="0" borderId="2" xfId="0" applyNumberFormat="1" applyFont="1" applyBorder="1"/>
    <xf numFmtId="0" fontId="8" fillId="0" borderId="2" xfId="0" applyFont="1" applyBorder="1"/>
    <xf numFmtId="0" fontId="9" fillId="0" borderId="3" xfId="0" applyFont="1" applyBorder="1"/>
    <xf numFmtId="0" fontId="8" fillId="0" borderId="0" xfId="0" applyFont="1"/>
    <xf numFmtId="0" fontId="7" fillId="0" borderId="0" xfId="0" applyFont="1" applyBorder="1" applyAlignment="1">
      <alignment/>
    </xf>
    <xf numFmtId="168" fontId="7" fillId="0" borderId="2" xfId="0" applyNumberFormat="1" applyFont="1" applyBorder="1"/>
    <xf numFmtId="49" fontId="8" fillId="0" borderId="0" xfId="0" applyNumberFormat="1" applyFont="1" applyAlignment="1">
      <alignment horizontal="left" vertical="top"/>
    </xf>
    <xf numFmtId="49" fontId="9" fillId="0" borderId="3" xfId="0" applyNumberFormat="1" applyFont="1" applyBorder="1" applyAlignment="1">
      <alignment horizontal="left" vertical="top"/>
    </xf>
    <xf numFmtId="2" fontId="8" fillId="0" borderId="0" xfId="0" applyNumberFormat="1" applyFont="1" applyBorder="1"/>
    <xf numFmtId="10" fontId="7" fillId="0" borderId="0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6" fontId="7" fillId="0" borderId="0" xfId="0" applyNumberFormat="1" applyFont="1" applyBorder="1"/>
    <xf numFmtId="1" fontId="8" fillId="0" borderId="0" xfId="0" applyNumberFormat="1" applyFont="1" applyBorder="1"/>
    <xf numFmtId="0" fontId="8" fillId="0" borderId="3" xfId="0" applyFont="1" applyBorder="1"/>
    <xf numFmtId="9" fontId="8" fillId="0" borderId="0" xfId="0" applyNumberFormat="1" applyFont="1"/>
    <xf numFmtId="0" fontId="9" fillId="0" borderId="4" xfId="0" applyFont="1" applyBorder="1"/>
    <xf numFmtId="0" fontId="8" fillId="0" borderId="5" xfId="0" applyFont="1" applyBorder="1"/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/>
    <xf numFmtId="0" fontId="12" fillId="0" borderId="0" xfId="0" applyFont="1"/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Fill="1"/>
    <xf numFmtId="0" fontId="14" fillId="0" borderId="0" xfId="0" applyFont="1" applyBorder="1"/>
    <xf numFmtId="0" fontId="15" fillId="0" borderId="0" xfId="0" applyFont="1" applyBorder="1"/>
    <xf numFmtId="1" fontId="10" fillId="0" borderId="0" xfId="0" applyNumberFormat="1" applyFont="1" applyBorder="1"/>
    <xf numFmtId="169" fontId="10" fillId="0" borderId="2" xfId="0" applyNumberFormat="1" applyFont="1" applyBorder="1"/>
    <xf numFmtId="169" fontId="16" fillId="0" borderId="2" xfId="0" applyNumberFormat="1" applyFont="1" applyBorder="1"/>
    <xf numFmtId="0" fontId="10" fillId="0" borderId="2" xfId="0" applyFont="1" applyBorder="1"/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49" fontId="9" fillId="2" borderId="6" xfId="15" applyNumberFormat="1" applyFont="1" applyFill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8" fillId="0" borderId="6" xfId="0" applyFont="1" applyBorder="1"/>
    <xf numFmtId="164" fontId="8" fillId="0" borderId="6" xfId="0" applyNumberFormat="1" applyFont="1" applyBorder="1"/>
    <xf numFmtId="168" fontId="8" fillId="0" borderId="6" xfId="0" applyNumberFormat="1" applyFont="1" applyBorder="1"/>
    <xf numFmtId="2" fontId="8" fillId="0" borderId="6" xfId="0" applyNumberFormat="1" applyFont="1" applyBorder="1"/>
    <xf numFmtId="0" fontId="8" fillId="0" borderId="6" xfId="0" applyFont="1" applyBorder="1" applyAlignment="1">
      <alignment/>
    </xf>
    <xf numFmtId="0" fontId="8" fillId="0" borderId="7" xfId="0" applyFont="1" applyBorder="1"/>
    <xf numFmtId="165" fontId="8" fillId="0" borderId="6" xfId="0" applyNumberFormat="1" applyFont="1" applyBorder="1"/>
    <xf numFmtId="166" fontId="16" fillId="0" borderId="6" xfId="0" applyNumberFormat="1" applyFont="1" applyBorder="1" applyAlignment="1">
      <alignment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6" fontId="10" fillId="3" borderId="7" xfId="0" applyNumberFormat="1" applyFont="1" applyFill="1" applyBorder="1"/>
    <xf numFmtId="0" fontId="8" fillId="3" borderId="6" xfId="0" applyFont="1" applyFill="1" applyBorder="1"/>
    <xf numFmtId="170" fontId="8" fillId="3" borderId="6" xfId="0" applyNumberFormat="1" applyFont="1" applyFill="1" applyBorder="1" applyAlignment="1">
      <alignment/>
    </xf>
    <xf numFmtId="6" fontId="8" fillId="3" borderId="8" xfId="0" applyNumberFormat="1" applyFont="1" applyFill="1" applyBorder="1"/>
    <xf numFmtId="164" fontId="8" fillId="3" borderId="8" xfId="0" applyNumberFormat="1" applyFont="1" applyFill="1" applyBorder="1"/>
    <xf numFmtId="1" fontId="8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8" fillId="0" borderId="2" xfId="0" applyFont="1" applyBorder="1"/>
    <xf numFmtId="0" fontId="2" fillId="0" borderId="2" xfId="0" applyFont="1" applyBorder="1"/>
    <xf numFmtId="166" fontId="10" fillId="0" borderId="6" xfId="0" applyNumberFormat="1" applyFont="1" applyBorder="1" applyAlignment="1">
      <alignment/>
    </xf>
    <xf numFmtId="171" fontId="8" fillId="3" borderId="6" xfId="16" applyNumberFormat="1" applyFont="1" applyFill="1" applyBorder="1" applyAlignment="1">
      <alignment/>
    </xf>
    <xf numFmtId="49" fontId="10" fillId="3" borderId="6" xfId="0" applyNumberFormat="1" applyFont="1" applyFill="1" applyBorder="1" applyAlignment="1">
      <alignment horizontal="left" vertical="top"/>
    </xf>
    <xf numFmtId="1" fontId="9" fillId="3" borderId="9" xfId="0" applyNumberFormat="1" applyFont="1" applyFill="1" applyBorder="1"/>
    <xf numFmtId="49" fontId="8" fillId="3" borderId="10" xfId="0" applyNumberFormat="1" applyFont="1" applyFill="1" applyBorder="1" applyAlignment="1">
      <alignment horizontal="left" vertical="top"/>
    </xf>
    <xf numFmtId="167" fontId="9" fillId="3" borderId="9" xfId="0" applyNumberFormat="1" applyFont="1" applyFill="1" applyBorder="1"/>
    <xf numFmtId="49" fontId="8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6" fontId="11" fillId="3" borderId="11" xfId="0" applyNumberFormat="1" applyFont="1" applyFill="1" applyBorder="1"/>
    <xf numFmtId="9" fontId="10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9" fontId="7" fillId="0" borderId="13" xfId="0" applyNumberFormat="1" applyFont="1" applyBorder="1"/>
    <xf numFmtId="168" fontId="7" fillId="0" borderId="13" xfId="0" applyNumberFormat="1" applyFont="1" applyBorder="1"/>
    <xf numFmtId="4" fontId="9" fillId="3" borderId="14" xfId="0" applyNumberFormat="1" applyFont="1" applyFill="1" applyBorder="1"/>
    <xf numFmtId="169" fontId="16" fillId="0" borderId="13" xfId="0" applyNumberFormat="1" applyFont="1" applyBorder="1"/>
    <xf numFmtId="0" fontId="19" fillId="0" borderId="15" xfId="0" applyFont="1" applyBorder="1"/>
    <xf numFmtId="169" fontId="7" fillId="0" borderId="13" xfId="0" applyNumberFormat="1" applyFont="1" applyBorder="1"/>
    <xf numFmtId="169" fontId="16" fillId="0" borderId="0" xfId="0" applyNumberFormat="1" applyFont="1" applyBorder="1"/>
    <xf numFmtId="1" fontId="10" fillId="0" borderId="6" xfId="0" applyNumberFormat="1" applyFont="1" applyBorder="1"/>
    <xf numFmtId="2" fontId="20" fillId="0" borderId="6" xfId="0" applyNumberFormat="1" applyFont="1" applyBorder="1"/>
    <xf numFmtId="9" fontId="10" fillId="0" borderId="6" xfId="0" applyNumberFormat="1" applyFont="1" applyBorder="1" applyAlignment="1">
      <alignment/>
    </xf>
    <xf numFmtId="9" fontId="16" fillId="0" borderId="6" xfId="0" applyNumberFormat="1" applyFont="1" applyBorder="1"/>
    <xf numFmtId="9" fontId="8" fillId="0" borderId="6" xfId="0" applyNumberFormat="1" applyFont="1" applyBorder="1"/>
    <xf numFmtId="168" fontId="10" fillId="0" borderId="6" xfId="0" applyNumberFormat="1" applyFont="1" applyBorder="1"/>
    <xf numFmtId="9" fontId="16" fillId="0" borderId="16" xfId="0" applyNumberFormat="1" applyFont="1" applyBorder="1"/>
    <xf numFmtId="49" fontId="8" fillId="0" borderId="17" xfId="0" applyNumberFormat="1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8" fillId="3" borderId="20" xfId="0" applyNumberFormat="1" applyFont="1" applyFill="1" applyBorder="1" applyAlignment="1">
      <alignment horizontal="left" vertical="top" wrapText="1"/>
    </xf>
    <xf numFmtId="49" fontId="10" fillId="3" borderId="21" xfId="0" applyNumberFormat="1" applyFont="1" applyFill="1" applyBorder="1" applyAlignment="1">
      <alignment horizontal="left" vertical="top" wrapText="1"/>
    </xf>
    <xf numFmtId="49" fontId="8" fillId="3" borderId="22" xfId="0" applyNumberFormat="1" applyFont="1" applyFill="1" applyBorder="1" applyAlignment="1">
      <alignment horizontal="left" vertical="top"/>
    </xf>
    <xf numFmtId="49" fontId="8" fillId="3" borderId="23" xfId="0" applyNumberFormat="1" applyFont="1" applyFill="1" applyBorder="1" applyAlignment="1">
      <alignment horizontal="left" vertical="top"/>
    </xf>
    <xf numFmtId="49" fontId="8" fillId="0" borderId="6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0" borderId="24" xfId="0" applyNumberFormat="1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top"/>
    </xf>
    <xf numFmtId="49" fontId="10" fillId="0" borderId="18" xfId="0" applyNumberFormat="1" applyFont="1" applyBorder="1" applyAlignment="1">
      <alignment horizontal="left" vertical="top"/>
    </xf>
    <xf numFmtId="49" fontId="10" fillId="0" borderId="19" xfId="0" applyNumberFormat="1" applyFont="1" applyBorder="1" applyAlignment="1">
      <alignment horizontal="left" vertical="top"/>
    </xf>
    <xf numFmtId="49" fontId="8" fillId="0" borderId="16" xfId="0" applyNumberFormat="1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49" fontId="8" fillId="0" borderId="26" xfId="0" applyNumberFormat="1" applyFont="1" applyBorder="1" applyAlignment="1">
      <alignment horizontal="left" vertical="top" wrapText="1"/>
    </xf>
    <xf numFmtId="0" fontId="8" fillId="0" borderId="17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49" fontId="8" fillId="0" borderId="25" xfId="0" applyNumberFormat="1" applyFont="1" applyBorder="1" applyAlignment="1">
      <alignment horizontal="left" vertical="top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Followed Hyperlink" xfId="21"/>
    <cellStyle name="Followed Hyperlink" xfId="22"/>
    <cellStyle name="Followed Hyperlink" xfId="23"/>
    <cellStyle name="Followed Hyperlink" xfId="24"/>
    <cellStyle name="Followed Hyperlink" xfId="25"/>
    <cellStyle name="Followed 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  <cellStyle name="Followed 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  <cellStyle name="Followed Hyperlink" xfId="47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xMode val="edge"/>
          <c:yMode val="edge"/>
          <c:x val="0.05975"/>
          <c:y val="0.05925"/>
          <c:w val="0.712"/>
          <c:h val="0.73125"/>
        </c:manualLayout>
      </c:layout>
      <c:barChart>
        <c:barDir val="col"/>
        <c:grouping val="clustered"/>
        <c:varyColors val="1"/>
        <c:ser>
          <c:idx val="0"/>
          <c:order val="0"/>
          <c:tx>
            <c:v>Kohteen lämmönkulutus kWh</c:v>
          </c:tx>
          <c:spPr>
            <a:solidFill>
              <a:srgbClr val="4F81BD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'Aurinkolämmön kannattavuus'!$C$18:$C$29</c:f>
              <c:numCache/>
            </c:numRef>
          </c:val>
        </c:ser>
        <c:ser>
          <c:idx val="1"/>
          <c:order val="1"/>
          <c:tx>
            <c:v>Aurinkolämmön tuotanto kWh</c:v>
          </c:tx>
          <c:spPr>
            <a:solidFill>
              <a:srgbClr val="F7964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'Aurinkolämmön kannattavuus'!$G$18:$G$29</c:f>
              <c:numCache/>
            </c:numRef>
          </c:val>
        </c:ser>
        <c:axId val="54020035"/>
        <c:axId val="16418268"/>
      </c:bar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crossAx val="16418268"/>
        <c:crosses val="autoZero"/>
        <c:auto val="1"/>
        <c:lblOffset val="100"/>
        <c:noMultiLvlLbl val="1"/>
      </c:catAx>
      <c:valAx>
        <c:axId val="1641826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crossAx val="54020035"/>
        <c:crosses val="autoZero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4075"/>
          <c:y val="0.8175"/>
          <c:w val="0.6225"/>
          <c:h val="0.133"/>
        </c:manualLayout>
      </c:layout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</xdr:row>
      <xdr:rowOff>123825</xdr:rowOff>
    </xdr:from>
    <xdr:to>
      <xdr:col>3</xdr:col>
      <xdr:colOff>1304925</xdr:colOff>
      <xdr:row>70</xdr:row>
      <xdr:rowOff>142875</xdr:rowOff>
    </xdr:to>
    <xdr:graphicFrame macro="">
      <xdr:nvGraphicFramePr>
        <xdr:cNvPr id="2" name="Chart 1" title="Chart"/>
        <xdr:cNvGraphicFramePr/>
      </xdr:nvGraphicFramePr>
      <xdr:xfrm>
        <a:off x="57150" y="11744325"/>
        <a:ext cx="60483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solar.net/?p=2107" TargetMode="External" /><Relationship Id="rId2" Type="http://schemas.openxmlformats.org/officeDocument/2006/relationships/hyperlink" Target="http://re.jrc.ec.europa.eu/pvgis/apps4/pvest.php" TargetMode="External" /><Relationship Id="rId3" Type="http://schemas.openxmlformats.org/officeDocument/2006/relationships/hyperlink" Target="http://solarelectricityhandbook.com/solar-irradiance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5"/>
  <sheetViews>
    <sheetView tabSelected="1" workbookViewId="0" topLeftCell="A1">
      <selection activeCell="D6" sqref="D6"/>
    </sheetView>
  </sheetViews>
  <sheetFormatPr defaultColWidth="13.50390625" defaultRowHeight="15.75"/>
  <cols>
    <col min="1" max="1" width="22.125" style="3" customWidth="1"/>
    <col min="2" max="2" width="17.875" style="3" customWidth="1"/>
    <col min="3" max="3" width="23.00390625" style="3" customWidth="1"/>
    <col min="4" max="4" width="17.375" style="3" customWidth="1"/>
    <col min="5" max="6" width="19.50390625" style="3" customWidth="1"/>
    <col min="7" max="8" width="14.625" style="3" customWidth="1"/>
    <col min="9" max="9" width="14.375" style="3" customWidth="1"/>
    <col min="10" max="10" width="14.50390625" style="3" customWidth="1"/>
    <col min="11" max="11" width="12.875" style="3" customWidth="1"/>
    <col min="12" max="12" width="13.50390625" style="3" customWidth="1"/>
    <col min="13" max="13" width="12.125" style="3" customWidth="1"/>
    <col min="14" max="14" width="10.50390625" style="3" customWidth="1"/>
    <col min="15" max="16384" width="13.50390625" style="3" customWidth="1"/>
  </cols>
  <sheetData>
    <row r="1" spans="1:6" ht="20">
      <c r="A1" s="76" t="s">
        <v>60</v>
      </c>
      <c r="B1" s="1"/>
      <c r="C1" s="1"/>
      <c r="D1" s="1"/>
      <c r="E1" s="2"/>
      <c r="F1" s="2"/>
    </row>
    <row r="2" spans="1:6" ht="18">
      <c r="A2" s="58"/>
      <c r="B2" s="2"/>
      <c r="C2" s="2"/>
      <c r="D2" s="2"/>
      <c r="E2" s="2"/>
      <c r="F2" s="2"/>
    </row>
    <row r="3" spans="1:6" ht="15.75">
      <c r="A3" s="32" t="s">
        <v>62</v>
      </c>
      <c r="B3" s="2"/>
      <c r="C3" s="2"/>
      <c r="D3" s="2"/>
      <c r="E3" s="2"/>
      <c r="F3" s="2"/>
    </row>
    <row r="4" spans="1:6" ht="15.75">
      <c r="A4" s="33" t="s">
        <v>61</v>
      </c>
      <c r="B4" s="2"/>
      <c r="C4" s="2"/>
      <c r="D4" s="2"/>
      <c r="E4" s="2"/>
      <c r="F4" s="2"/>
    </row>
    <row r="5" spans="1:6" ht="15.75">
      <c r="A5" s="86" t="s">
        <v>63</v>
      </c>
      <c r="B5" s="87"/>
      <c r="C5" s="88"/>
      <c r="D5" s="77">
        <v>100</v>
      </c>
      <c r="E5" s="10"/>
      <c r="F5" s="2"/>
    </row>
    <row r="6" spans="1:6" ht="15.75">
      <c r="A6" s="86" t="s">
        <v>46</v>
      </c>
      <c r="B6" s="87"/>
      <c r="C6" s="88"/>
      <c r="D6" s="17">
        <v>0.02</v>
      </c>
      <c r="E6" s="2"/>
      <c r="F6" s="2"/>
    </row>
    <row r="7" spans="1:6" ht="33" customHeight="1">
      <c r="A7" s="106" t="s">
        <v>43</v>
      </c>
      <c r="B7" s="105"/>
      <c r="C7" s="105"/>
      <c r="D7" s="71">
        <v>2.65</v>
      </c>
      <c r="E7" s="2"/>
      <c r="F7" s="2"/>
    </row>
    <row r="8" spans="1:6" ht="15.75">
      <c r="A8" s="101" t="s">
        <v>19</v>
      </c>
      <c r="B8" s="102"/>
      <c r="C8" s="103"/>
      <c r="D8" s="12">
        <v>2418</v>
      </c>
      <c r="E8" s="2"/>
      <c r="F8" s="2"/>
    </row>
    <row r="9" spans="1:6" ht="15.75">
      <c r="A9" s="99" t="s">
        <v>20</v>
      </c>
      <c r="B9" s="100"/>
      <c r="C9" s="100"/>
      <c r="D9" s="72">
        <v>0</v>
      </c>
      <c r="E9" s="2"/>
      <c r="F9" s="2"/>
    </row>
    <row r="10" spans="1:6" ht="15.75">
      <c r="A10" s="99" t="s">
        <v>31</v>
      </c>
      <c r="B10" s="100"/>
      <c r="C10" s="100"/>
      <c r="D10" s="73">
        <v>0</v>
      </c>
      <c r="E10" s="2"/>
      <c r="F10" s="2"/>
    </row>
    <row r="11" spans="1:6" ht="15.75">
      <c r="A11" s="101" t="s">
        <v>30</v>
      </c>
      <c r="B11" s="102"/>
      <c r="C11" s="102"/>
      <c r="D11" s="17">
        <v>0.01</v>
      </c>
      <c r="E11" s="2"/>
      <c r="F11" s="2"/>
    </row>
    <row r="12" spans="1:6" ht="15.75">
      <c r="A12" s="99" t="s">
        <v>42</v>
      </c>
      <c r="B12" s="111"/>
      <c r="C12" s="111"/>
      <c r="D12" s="75">
        <v>0</v>
      </c>
      <c r="E12" s="2"/>
      <c r="F12" s="2"/>
    </row>
    <row r="13" spans="1:6" ht="15.75">
      <c r="A13" s="67"/>
      <c r="B13" s="67"/>
      <c r="C13" s="67"/>
      <c r="D13" s="78"/>
      <c r="E13" s="2"/>
      <c r="F13" s="2"/>
    </row>
    <row r="14" spans="1:6" ht="15.75">
      <c r="A14" s="32" t="s">
        <v>22</v>
      </c>
      <c r="B14" s="2"/>
      <c r="C14" s="2"/>
      <c r="E14" s="2"/>
      <c r="F14" s="2"/>
    </row>
    <row r="15" spans="1:6" ht="15.75">
      <c r="A15" s="33" t="s">
        <v>25</v>
      </c>
      <c r="B15" s="2"/>
      <c r="C15" s="2"/>
      <c r="D15" s="2"/>
      <c r="E15" s="2"/>
      <c r="F15" s="2"/>
    </row>
    <row r="16" spans="1:6" ht="15.75">
      <c r="A16" s="33"/>
      <c r="B16" s="2"/>
      <c r="C16" s="2"/>
      <c r="D16" s="2"/>
      <c r="E16" s="2"/>
      <c r="F16" s="2"/>
    </row>
    <row r="17" spans="3:14" ht="75">
      <c r="C17" s="4" t="s">
        <v>36</v>
      </c>
      <c r="D17" s="4" t="s">
        <v>40</v>
      </c>
      <c r="E17" s="4" t="s">
        <v>37</v>
      </c>
      <c r="F17" s="4" t="s">
        <v>51</v>
      </c>
      <c r="G17" s="4" t="s">
        <v>3</v>
      </c>
      <c r="H17" s="4" t="s">
        <v>38</v>
      </c>
      <c r="I17" s="4" t="s">
        <v>39</v>
      </c>
      <c r="J17" s="4" t="s">
        <v>41</v>
      </c>
      <c r="K17" s="4" t="s">
        <v>52</v>
      </c>
      <c r="L17" s="4" t="s">
        <v>50</v>
      </c>
      <c r="M17" s="4" t="s">
        <v>16</v>
      </c>
      <c r="N17" s="4" t="s">
        <v>56</v>
      </c>
    </row>
    <row r="18" spans="1:14" ht="15.75">
      <c r="A18" s="107" t="s">
        <v>0</v>
      </c>
      <c r="B18" s="108"/>
      <c r="C18" s="5">
        <v>1000</v>
      </c>
      <c r="D18" s="35">
        <f>$D$31</f>
        <v>100</v>
      </c>
      <c r="E18" s="36">
        <f aca="true" t="shared" si="0" ref="E18:E29">$D$12</f>
        <v>0</v>
      </c>
      <c r="F18" s="59">
        <v>0.32</v>
      </c>
      <c r="G18" s="6">
        <f aca="true" t="shared" si="1" ref="G18:G29">$D$7*N18*$D$35</f>
        <v>10.5152</v>
      </c>
      <c r="H18" s="6">
        <f>IF(G18-C18&lt;0,0,G18-C18)</f>
        <v>0</v>
      </c>
      <c r="I18" s="7">
        <f>G18-H18</f>
        <v>10.5152</v>
      </c>
      <c r="J18" s="6">
        <f>I18/1000*D18</f>
        <v>1.05152</v>
      </c>
      <c r="K18" s="6">
        <f>E18*H18/100</f>
        <v>0</v>
      </c>
      <c r="L18" s="6">
        <f aca="true" t="shared" si="2" ref="L18:L29">C18-I18</f>
        <v>989.4848</v>
      </c>
      <c r="M18" s="8">
        <v>31</v>
      </c>
      <c r="N18" s="8">
        <f aca="true" t="shared" si="3" ref="N18:N29">F18*M18</f>
        <v>9.92</v>
      </c>
    </row>
    <row r="19" spans="1:14" ht="15.75">
      <c r="A19" s="107" t="s">
        <v>1</v>
      </c>
      <c r="B19" s="108"/>
      <c r="C19" s="5">
        <v>1000</v>
      </c>
      <c r="D19" s="35">
        <f aca="true" t="shared" si="4" ref="D19:D29">$D$31</f>
        <v>100</v>
      </c>
      <c r="E19" s="36">
        <f t="shared" si="0"/>
        <v>0</v>
      </c>
      <c r="F19" s="59">
        <v>1.1</v>
      </c>
      <c r="G19" s="6">
        <f t="shared" si="1"/>
        <v>32.648</v>
      </c>
      <c r="H19" s="6">
        <f aca="true" t="shared" si="5" ref="H19:H29">IF(G19-C19&lt;0,0,G19-C19)</f>
        <v>0</v>
      </c>
      <c r="I19" s="7">
        <f aca="true" t="shared" si="6" ref="I19:I29">G19-H19</f>
        <v>32.648</v>
      </c>
      <c r="J19" s="6">
        <f aca="true" t="shared" si="7" ref="J19:J29">I19/1000*D19</f>
        <v>3.2648</v>
      </c>
      <c r="K19" s="6">
        <f aca="true" t="shared" si="8" ref="K19:K29">E19*H19/100</f>
        <v>0</v>
      </c>
      <c r="L19" s="6">
        <f t="shared" si="2"/>
        <v>967.352</v>
      </c>
      <c r="M19" s="8">
        <v>28</v>
      </c>
      <c r="N19" s="8">
        <f t="shared" si="3"/>
        <v>30.800000000000004</v>
      </c>
    </row>
    <row r="20" spans="1:14" ht="15.75">
      <c r="A20" s="107" t="s">
        <v>2</v>
      </c>
      <c r="B20" s="108"/>
      <c r="C20" s="5">
        <v>1000</v>
      </c>
      <c r="D20" s="35">
        <f t="shared" si="4"/>
        <v>100</v>
      </c>
      <c r="E20" s="36">
        <f t="shared" si="0"/>
        <v>0</v>
      </c>
      <c r="F20" s="59">
        <v>2.44</v>
      </c>
      <c r="G20" s="6">
        <f t="shared" si="1"/>
        <v>80.17840000000001</v>
      </c>
      <c r="H20" s="6">
        <f t="shared" si="5"/>
        <v>0</v>
      </c>
      <c r="I20" s="7">
        <f t="shared" si="6"/>
        <v>80.17840000000001</v>
      </c>
      <c r="J20" s="6">
        <f t="shared" si="7"/>
        <v>8.017840000000001</v>
      </c>
      <c r="K20" s="6">
        <f t="shared" si="8"/>
        <v>0</v>
      </c>
      <c r="L20" s="6">
        <f t="shared" si="2"/>
        <v>919.8216</v>
      </c>
      <c r="M20" s="8">
        <v>31</v>
      </c>
      <c r="N20" s="8">
        <f t="shared" si="3"/>
        <v>75.64</v>
      </c>
    </row>
    <row r="21" spans="1:14" ht="15.75">
      <c r="A21" s="107" t="s">
        <v>4</v>
      </c>
      <c r="B21" s="108"/>
      <c r="C21" s="5">
        <v>800</v>
      </c>
      <c r="D21" s="35">
        <f t="shared" si="4"/>
        <v>100</v>
      </c>
      <c r="E21" s="36">
        <f t="shared" si="0"/>
        <v>0</v>
      </c>
      <c r="F21" s="59">
        <v>3.96</v>
      </c>
      <c r="G21" s="6">
        <f t="shared" si="1"/>
        <v>125.928</v>
      </c>
      <c r="H21" s="6">
        <f t="shared" si="5"/>
        <v>0</v>
      </c>
      <c r="I21" s="7">
        <f t="shared" si="6"/>
        <v>125.928</v>
      </c>
      <c r="J21" s="6">
        <f t="shared" si="7"/>
        <v>12.592799999999999</v>
      </c>
      <c r="K21" s="6">
        <f t="shared" si="8"/>
        <v>0</v>
      </c>
      <c r="L21" s="6">
        <f t="shared" si="2"/>
        <v>674.072</v>
      </c>
      <c r="M21" s="8">
        <v>30</v>
      </c>
      <c r="N21" s="8">
        <f t="shared" si="3"/>
        <v>118.8</v>
      </c>
    </row>
    <row r="22" spans="1:14" ht="15.75">
      <c r="A22" s="107" t="s">
        <v>5</v>
      </c>
      <c r="B22" s="108"/>
      <c r="C22" s="5">
        <v>700</v>
      </c>
      <c r="D22" s="35">
        <f t="shared" si="4"/>
        <v>100</v>
      </c>
      <c r="E22" s="36">
        <f t="shared" si="0"/>
        <v>0</v>
      </c>
      <c r="F22" s="59">
        <v>5.41</v>
      </c>
      <c r="G22" s="6">
        <f t="shared" si="1"/>
        <v>177.7726</v>
      </c>
      <c r="H22" s="6">
        <f t="shared" si="5"/>
        <v>0</v>
      </c>
      <c r="I22" s="7">
        <f t="shared" si="6"/>
        <v>177.7726</v>
      </c>
      <c r="J22" s="6">
        <f t="shared" si="7"/>
        <v>17.777260000000002</v>
      </c>
      <c r="K22" s="6">
        <f t="shared" si="8"/>
        <v>0</v>
      </c>
      <c r="L22" s="6">
        <f t="shared" si="2"/>
        <v>522.2274</v>
      </c>
      <c r="M22" s="8">
        <v>31</v>
      </c>
      <c r="N22" s="8">
        <f t="shared" si="3"/>
        <v>167.71</v>
      </c>
    </row>
    <row r="23" spans="1:14" ht="15.75">
      <c r="A23" s="107" t="s">
        <v>6</v>
      </c>
      <c r="B23" s="108"/>
      <c r="C23" s="5">
        <v>150</v>
      </c>
      <c r="D23" s="35">
        <f t="shared" si="4"/>
        <v>100</v>
      </c>
      <c r="E23" s="36">
        <f t="shared" si="0"/>
        <v>0</v>
      </c>
      <c r="F23" s="59">
        <v>5.63</v>
      </c>
      <c r="G23" s="6">
        <f t="shared" si="1"/>
        <v>179.034</v>
      </c>
      <c r="H23" s="6">
        <f t="shared" si="5"/>
        <v>29.033999999999992</v>
      </c>
      <c r="I23" s="7">
        <f t="shared" si="6"/>
        <v>150</v>
      </c>
      <c r="J23" s="6">
        <f t="shared" si="7"/>
        <v>15</v>
      </c>
      <c r="K23" s="6">
        <f t="shared" si="8"/>
        <v>0</v>
      </c>
      <c r="L23" s="6">
        <f t="shared" si="2"/>
        <v>0</v>
      </c>
      <c r="M23" s="8">
        <v>30</v>
      </c>
      <c r="N23" s="8">
        <f t="shared" si="3"/>
        <v>168.9</v>
      </c>
    </row>
    <row r="24" spans="1:14" ht="15.75">
      <c r="A24" s="107" t="s">
        <v>7</v>
      </c>
      <c r="B24" s="108"/>
      <c r="C24" s="5">
        <v>100</v>
      </c>
      <c r="D24" s="35">
        <f t="shared" si="4"/>
        <v>100</v>
      </c>
      <c r="E24" s="36">
        <f t="shared" si="0"/>
        <v>0</v>
      </c>
      <c r="F24" s="59">
        <v>5.4</v>
      </c>
      <c r="G24" s="6">
        <f t="shared" si="1"/>
        <v>177.44400000000002</v>
      </c>
      <c r="H24" s="6">
        <f t="shared" si="5"/>
        <v>77.44400000000002</v>
      </c>
      <c r="I24" s="7">
        <f t="shared" si="6"/>
        <v>100</v>
      </c>
      <c r="J24" s="6">
        <f t="shared" si="7"/>
        <v>10</v>
      </c>
      <c r="K24" s="6">
        <f t="shared" si="8"/>
        <v>0</v>
      </c>
      <c r="L24" s="6">
        <f t="shared" si="2"/>
        <v>0</v>
      </c>
      <c r="M24" s="8">
        <v>31</v>
      </c>
      <c r="N24" s="8">
        <f t="shared" si="3"/>
        <v>167.4</v>
      </c>
    </row>
    <row r="25" spans="1:14" ht="15.75">
      <c r="A25" s="107" t="s">
        <v>8</v>
      </c>
      <c r="B25" s="108"/>
      <c r="C25" s="5">
        <v>100</v>
      </c>
      <c r="D25" s="35">
        <f t="shared" si="4"/>
        <v>100</v>
      </c>
      <c r="E25" s="36">
        <f t="shared" si="0"/>
        <v>0</v>
      </c>
      <c r="F25" s="59">
        <v>4.09</v>
      </c>
      <c r="G25" s="6">
        <f t="shared" si="1"/>
        <v>134.3974</v>
      </c>
      <c r="H25" s="6">
        <f t="shared" si="5"/>
        <v>34.397400000000005</v>
      </c>
      <c r="I25" s="7">
        <f t="shared" si="6"/>
        <v>100</v>
      </c>
      <c r="J25" s="6">
        <f t="shared" si="7"/>
        <v>10</v>
      </c>
      <c r="K25" s="6">
        <f t="shared" si="8"/>
        <v>0</v>
      </c>
      <c r="L25" s="6">
        <f t="shared" si="2"/>
        <v>0</v>
      </c>
      <c r="M25" s="8">
        <v>31</v>
      </c>
      <c r="N25" s="8">
        <f t="shared" si="3"/>
        <v>126.78999999999999</v>
      </c>
    </row>
    <row r="26" spans="1:14" ht="15.75">
      <c r="A26" s="107" t="s">
        <v>9</v>
      </c>
      <c r="B26" s="108"/>
      <c r="C26" s="5">
        <v>700</v>
      </c>
      <c r="D26" s="35">
        <f t="shared" si="4"/>
        <v>100</v>
      </c>
      <c r="E26" s="36">
        <f t="shared" si="0"/>
        <v>0</v>
      </c>
      <c r="F26" s="59">
        <v>2.54</v>
      </c>
      <c r="G26" s="6">
        <f t="shared" si="1"/>
        <v>80.772</v>
      </c>
      <c r="H26" s="6">
        <f t="shared" si="5"/>
        <v>0</v>
      </c>
      <c r="I26" s="7">
        <f t="shared" si="6"/>
        <v>80.772</v>
      </c>
      <c r="J26" s="6">
        <f t="shared" si="7"/>
        <v>8.077200000000001</v>
      </c>
      <c r="K26" s="6">
        <f t="shared" si="8"/>
        <v>0</v>
      </c>
      <c r="L26" s="6">
        <f t="shared" si="2"/>
        <v>619.228</v>
      </c>
      <c r="M26" s="8">
        <v>30</v>
      </c>
      <c r="N26" s="8">
        <f t="shared" si="3"/>
        <v>76.2</v>
      </c>
    </row>
    <row r="27" spans="1:14" ht="15.75">
      <c r="A27" s="107" t="s">
        <v>10</v>
      </c>
      <c r="B27" s="108"/>
      <c r="C27" s="5">
        <v>800</v>
      </c>
      <c r="D27" s="35">
        <f t="shared" si="4"/>
        <v>100</v>
      </c>
      <c r="E27" s="36">
        <f t="shared" si="0"/>
        <v>0</v>
      </c>
      <c r="F27" s="59">
        <v>1.18</v>
      </c>
      <c r="G27" s="6">
        <f t="shared" si="1"/>
        <v>38.7748</v>
      </c>
      <c r="H27" s="6">
        <f t="shared" si="5"/>
        <v>0</v>
      </c>
      <c r="I27" s="7">
        <f t="shared" si="6"/>
        <v>38.7748</v>
      </c>
      <c r="J27" s="6">
        <f t="shared" si="7"/>
        <v>3.87748</v>
      </c>
      <c r="K27" s="6">
        <f t="shared" si="8"/>
        <v>0</v>
      </c>
      <c r="L27" s="6">
        <f t="shared" si="2"/>
        <v>761.2252</v>
      </c>
      <c r="M27" s="8">
        <v>31</v>
      </c>
      <c r="N27" s="8">
        <f t="shared" si="3"/>
        <v>36.58</v>
      </c>
    </row>
    <row r="28" spans="1:14" ht="15.75">
      <c r="A28" s="107" t="s">
        <v>11</v>
      </c>
      <c r="B28" s="108"/>
      <c r="C28" s="5">
        <v>800</v>
      </c>
      <c r="D28" s="35">
        <f t="shared" si="4"/>
        <v>100</v>
      </c>
      <c r="E28" s="36">
        <f t="shared" si="0"/>
        <v>0</v>
      </c>
      <c r="F28" s="59">
        <v>0.5</v>
      </c>
      <c r="G28" s="6">
        <f t="shared" si="1"/>
        <v>15.9</v>
      </c>
      <c r="H28" s="6">
        <f t="shared" si="5"/>
        <v>0</v>
      </c>
      <c r="I28" s="7">
        <f t="shared" si="6"/>
        <v>15.9</v>
      </c>
      <c r="J28" s="6">
        <f t="shared" si="7"/>
        <v>1.59</v>
      </c>
      <c r="K28" s="6">
        <f t="shared" si="8"/>
        <v>0</v>
      </c>
      <c r="L28" s="6">
        <f t="shared" si="2"/>
        <v>784.1</v>
      </c>
      <c r="M28" s="8">
        <v>30</v>
      </c>
      <c r="N28" s="8">
        <f t="shared" si="3"/>
        <v>15</v>
      </c>
    </row>
    <row r="29" spans="1:14" ht="15.75">
      <c r="A29" s="107" t="s">
        <v>12</v>
      </c>
      <c r="B29" s="108"/>
      <c r="C29" s="5">
        <v>900</v>
      </c>
      <c r="D29" s="35">
        <f t="shared" si="4"/>
        <v>100</v>
      </c>
      <c r="E29" s="36">
        <f t="shared" si="0"/>
        <v>0</v>
      </c>
      <c r="F29" s="59">
        <v>0.2</v>
      </c>
      <c r="G29" s="6">
        <f t="shared" si="1"/>
        <v>6.572</v>
      </c>
      <c r="H29" s="6">
        <f t="shared" si="5"/>
        <v>0</v>
      </c>
      <c r="I29" s="7">
        <f t="shared" si="6"/>
        <v>6.572</v>
      </c>
      <c r="J29" s="6">
        <f t="shared" si="7"/>
        <v>0.6572</v>
      </c>
      <c r="K29" s="6">
        <f t="shared" si="8"/>
        <v>0</v>
      </c>
      <c r="L29" s="6">
        <f t="shared" si="2"/>
        <v>893.428</v>
      </c>
      <c r="M29" s="8">
        <v>31</v>
      </c>
      <c r="N29" s="8">
        <f t="shared" si="3"/>
        <v>6.2</v>
      </c>
    </row>
    <row r="30" spans="1:14" ht="15.75">
      <c r="A30" s="109" t="s">
        <v>24</v>
      </c>
      <c r="B30" s="110"/>
      <c r="C30" s="37">
        <f>SUM(C18:C29)</f>
        <v>8050</v>
      </c>
      <c r="F30" s="60">
        <f aca="true" t="shared" si="9" ref="F30:N30">SUM(F18:F29)</f>
        <v>32.77</v>
      </c>
      <c r="G30" s="6">
        <f>SUM(G18:G29)</f>
        <v>1059.9364</v>
      </c>
      <c r="H30" s="6">
        <f t="shared" si="9"/>
        <v>140.8754</v>
      </c>
      <c r="I30" s="7">
        <f t="shared" si="9"/>
        <v>919.0610000000001</v>
      </c>
      <c r="J30" s="6">
        <f t="shared" si="9"/>
        <v>91.90610000000002</v>
      </c>
      <c r="K30" s="6">
        <f t="shared" si="9"/>
        <v>0</v>
      </c>
      <c r="L30" s="6">
        <f t="shared" si="9"/>
        <v>7130.939</v>
      </c>
      <c r="M30" s="6">
        <f t="shared" si="9"/>
        <v>365</v>
      </c>
      <c r="N30" s="6">
        <f t="shared" si="9"/>
        <v>999.94</v>
      </c>
    </row>
    <row r="31" spans="1:16" ht="15.75">
      <c r="A31" s="109" t="s">
        <v>23</v>
      </c>
      <c r="B31" s="110"/>
      <c r="C31" s="2"/>
      <c r="D31" s="35">
        <f>D5</f>
        <v>100</v>
      </c>
      <c r="E31" s="35">
        <f>D12</f>
        <v>0</v>
      </c>
      <c r="F31" s="35">
        <f>AVERAGE(F18:F29)</f>
        <v>2.7308333333333334</v>
      </c>
      <c r="G31" s="2"/>
      <c r="H31" s="20"/>
      <c r="I31" s="34"/>
      <c r="J31" s="15"/>
      <c r="K31" s="15"/>
      <c r="L31" s="20"/>
      <c r="M31" s="20"/>
      <c r="N31" s="20"/>
      <c r="O31" s="20"/>
      <c r="P31" s="20"/>
    </row>
    <row r="32" spans="1:6" ht="15.75">
      <c r="A32" s="9"/>
      <c r="B32" s="10"/>
      <c r="C32" s="10"/>
      <c r="D32" s="10"/>
      <c r="E32" s="10"/>
      <c r="F32" s="10"/>
    </row>
    <row r="33" spans="1:6" ht="15.75">
      <c r="A33" s="9" t="s">
        <v>64</v>
      </c>
      <c r="B33" s="10"/>
      <c r="C33" s="10"/>
      <c r="D33" s="10"/>
      <c r="E33" s="10"/>
      <c r="F33" s="10"/>
    </row>
    <row r="34" spans="1:6" ht="15.75">
      <c r="A34" s="89" t="s">
        <v>67</v>
      </c>
      <c r="B34" s="89"/>
      <c r="C34" s="89"/>
      <c r="D34" s="79">
        <f>G30</f>
        <v>1059.9364</v>
      </c>
      <c r="E34" s="2"/>
      <c r="F34" s="10"/>
    </row>
    <row r="35" spans="1:6" ht="15.75">
      <c r="A35" s="94" t="s">
        <v>55</v>
      </c>
      <c r="B35" s="95"/>
      <c r="C35" s="95"/>
      <c r="D35" s="80">
        <v>0.4</v>
      </c>
      <c r="E35" s="2"/>
      <c r="F35" s="10"/>
    </row>
    <row r="36" spans="1:6" ht="15" customHeight="1">
      <c r="A36" s="89" t="s">
        <v>65</v>
      </c>
      <c r="B36" s="96"/>
      <c r="C36" s="96"/>
      <c r="D36" s="81">
        <f>(H30/G30)</f>
        <v>0.13290929531243573</v>
      </c>
      <c r="E36" s="2"/>
      <c r="F36" s="10"/>
    </row>
    <row r="37" spans="1:6" ht="30" customHeight="1">
      <c r="A37" s="46" t="s">
        <v>66</v>
      </c>
      <c r="B37" s="46"/>
      <c r="C37" s="46"/>
      <c r="D37" s="46">
        <f>C30</f>
        <v>8050</v>
      </c>
      <c r="F37" s="11"/>
    </row>
    <row r="38" spans="1:6" ht="21" customHeight="1">
      <c r="A38" s="89" t="s">
        <v>45</v>
      </c>
      <c r="B38" s="96"/>
      <c r="C38" s="96"/>
      <c r="D38" s="82">
        <v>-0.01</v>
      </c>
      <c r="E38" s="11"/>
      <c r="F38" s="11"/>
    </row>
    <row r="39" spans="1:6" ht="18" customHeight="1">
      <c r="A39" s="94" t="s">
        <v>17</v>
      </c>
      <c r="B39" s="95"/>
      <c r="C39" s="95"/>
      <c r="D39" s="42">
        <v>30</v>
      </c>
      <c r="E39" s="11"/>
      <c r="F39" s="11"/>
    </row>
    <row r="40" spans="1:6" ht="20" customHeight="1">
      <c r="A40" s="94" t="s">
        <v>47</v>
      </c>
      <c r="B40" s="95"/>
      <c r="C40" s="95"/>
      <c r="D40" s="83">
        <f>I30/C30</f>
        <v>0.11416906832298139</v>
      </c>
      <c r="E40" s="11"/>
      <c r="F40" s="11"/>
    </row>
    <row r="41" spans="1:6" ht="19" customHeight="1">
      <c r="A41" s="94" t="s">
        <v>32</v>
      </c>
      <c r="B41" s="95"/>
      <c r="C41" s="95"/>
      <c r="D41" s="84">
        <f>D8-(D8*D9)-D10</f>
        <v>2418</v>
      </c>
      <c r="E41" s="11"/>
      <c r="F41" s="11"/>
    </row>
    <row r="42" spans="1:6" ht="30" customHeight="1">
      <c r="A42" s="104" t="s">
        <v>44</v>
      </c>
      <c r="B42" s="105"/>
      <c r="C42" s="105"/>
      <c r="D42" s="85">
        <f>IF(D7&lt;20,0.1,IF(D7&gt;100,0.05,0.08))</f>
        <v>0.1</v>
      </c>
      <c r="E42" s="11"/>
      <c r="F42" s="11"/>
    </row>
    <row r="43" spans="1:6" ht="18" customHeight="1">
      <c r="A43" s="67"/>
      <c r="B43" s="68"/>
      <c r="C43" s="68"/>
      <c r="D43" s="70"/>
      <c r="E43" s="11"/>
      <c r="F43" s="11"/>
    </row>
    <row r="44" spans="1:3" ht="15.75">
      <c r="A44" s="14"/>
      <c r="B44" s="13"/>
      <c r="C44" s="13"/>
    </row>
    <row r="45" spans="1:6" ht="16" thickBot="1">
      <c r="A45" s="29" t="s">
        <v>58</v>
      </c>
      <c r="E45" s="16"/>
      <c r="F45" s="16"/>
    </row>
    <row r="46" spans="1:6" ht="15.75">
      <c r="A46" s="90" t="s">
        <v>34</v>
      </c>
      <c r="B46" s="91"/>
      <c r="C46" s="91"/>
      <c r="D46" s="69">
        <f>D108</f>
        <v>94.58240112059744</v>
      </c>
      <c r="E46" s="18"/>
      <c r="F46" s="18"/>
    </row>
    <row r="47" spans="1:6" ht="17" customHeight="1">
      <c r="A47" s="97" t="s">
        <v>13</v>
      </c>
      <c r="B47" s="98"/>
      <c r="C47" s="98"/>
      <c r="D47" s="64">
        <f>G108</f>
        <v>28</v>
      </c>
      <c r="E47" s="19"/>
      <c r="F47" s="19"/>
    </row>
    <row r="48" spans="1:6" ht="15.75">
      <c r="A48" s="65" t="s">
        <v>21</v>
      </c>
      <c r="B48" s="63"/>
      <c r="C48" s="63"/>
      <c r="D48" s="66">
        <f>IRR(D77:D107,0.1)</f>
        <v>0.01253663777246472</v>
      </c>
      <c r="E48" s="20"/>
      <c r="F48" s="20"/>
    </row>
    <row r="49" spans="1:6" ht="16" thickBot="1">
      <c r="A49" s="92" t="s">
        <v>57</v>
      </c>
      <c r="B49" s="93"/>
      <c r="C49" s="93"/>
      <c r="D49" s="74">
        <f>-C108/J108*1000</f>
        <v>111.18113395673078</v>
      </c>
      <c r="E49" s="20"/>
      <c r="F49" s="20"/>
    </row>
    <row r="50" spans="5:6" ht="15.75">
      <c r="E50" s="57"/>
      <c r="F50" s="20"/>
    </row>
    <row r="51" spans="1:6" ht="15.75">
      <c r="A51" s="21"/>
      <c r="B51" s="22"/>
      <c r="C51" s="10"/>
      <c r="D51" s="10"/>
      <c r="E51" s="10"/>
      <c r="F51" s="10"/>
    </row>
    <row r="52" spans="1:6" ht="15.75">
      <c r="A52" s="21"/>
      <c r="B52" s="22"/>
      <c r="C52" s="10"/>
      <c r="D52" s="10"/>
      <c r="E52" s="10"/>
      <c r="F52" s="10"/>
    </row>
    <row r="53" spans="1:6" ht="15.75">
      <c r="A53" s="21"/>
      <c r="B53" s="22"/>
      <c r="C53" s="10"/>
      <c r="D53" s="10"/>
      <c r="E53" s="10"/>
      <c r="F53" s="10"/>
    </row>
    <row r="54" spans="1:6" ht="15.75">
      <c r="A54" s="21"/>
      <c r="B54" s="22"/>
      <c r="C54" s="10"/>
      <c r="D54" s="10"/>
      <c r="E54" s="10"/>
      <c r="F54" s="10"/>
    </row>
    <row r="55" spans="1:6" ht="15.75">
      <c r="A55" s="21"/>
      <c r="B55" s="22"/>
      <c r="C55" s="10"/>
      <c r="D55" s="10"/>
      <c r="E55" s="10"/>
      <c r="F55" s="10"/>
    </row>
    <row r="56" spans="1:6" ht="15.75">
      <c r="A56" s="21"/>
      <c r="B56" s="22"/>
      <c r="C56" s="10"/>
      <c r="D56" s="10"/>
      <c r="E56" s="10"/>
      <c r="F56" s="10"/>
    </row>
    <row r="57" spans="1:6" ht="15.75">
      <c r="A57" s="21"/>
      <c r="B57" s="22"/>
      <c r="C57" s="10"/>
      <c r="D57" s="10"/>
      <c r="E57" s="10"/>
      <c r="F57" s="10"/>
    </row>
    <row r="58" spans="1:6" ht="15.75">
      <c r="A58" s="21"/>
      <c r="B58" s="22"/>
      <c r="C58" s="10"/>
      <c r="D58" s="10"/>
      <c r="E58" s="10"/>
      <c r="F58" s="10"/>
    </row>
    <row r="59" spans="1:6" ht="15.75">
      <c r="A59" s="21"/>
      <c r="B59" s="22"/>
      <c r="C59" s="10"/>
      <c r="D59" s="10"/>
      <c r="E59" s="10"/>
      <c r="F59" s="10"/>
    </row>
    <row r="60" spans="1:6" ht="15.75">
      <c r="A60" s="21"/>
      <c r="B60" s="22"/>
      <c r="C60" s="10"/>
      <c r="D60" s="10"/>
      <c r="E60" s="10"/>
      <c r="F60" s="10"/>
    </row>
    <row r="61" spans="1:6" ht="15.75">
      <c r="A61" s="21"/>
      <c r="B61" s="22"/>
      <c r="C61" s="10"/>
      <c r="D61" s="10"/>
      <c r="E61" s="10"/>
      <c r="F61" s="10"/>
    </row>
    <row r="62" spans="1:6" ht="15.75">
      <c r="A62" s="21"/>
      <c r="B62" s="22"/>
      <c r="C62" s="10"/>
      <c r="D62" s="10"/>
      <c r="E62" s="10"/>
      <c r="F62" s="10"/>
    </row>
    <row r="63" spans="1:6" ht="15.75">
      <c r="A63" s="21"/>
      <c r="B63" s="22"/>
      <c r="C63" s="10"/>
      <c r="D63" s="10"/>
      <c r="E63" s="10"/>
      <c r="F63" s="10"/>
    </row>
    <row r="64" spans="1:6" ht="15.75">
      <c r="A64" s="21"/>
      <c r="B64" s="22"/>
      <c r="C64" s="10"/>
      <c r="D64" s="10"/>
      <c r="E64" s="10"/>
      <c r="F64" s="10"/>
    </row>
    <row r="65" spans="1:6" ht="15.75">
      <c r="A65" s="21"/>
      <c r="B65" s="22"/>
      <c r="C65" s="10"/>
      <c r="D65" s="10"/>
      <c r="E65" s="10"/>
      <c r="F65" s="10"/>
    </row>
    <row r="66" spans="1:6" ht="15.75">
      <c r="A66" s="21"/>
      <c r="B66" s="22"/>
      <c r="C66" s="10"/>
      <c r="D66" s="10"/>
      <c r="E66" s="10"/>
      <c r="F66" s="10"/>
    </row>
    <row r="67" spans="1:6" ht="15.75">
      <c r="A67" s="21"/>
      <c r="B67" s="22"/>
      <c r="C67" s="10"/>
      <c r="D67" s="10"/>
      <c r="E67" s="10"/>
      <c r="F67" s="10"/>
    </row>
    <row r="68" spans="1:6" ht="15.75">
      <c r="A68" s="21"/>
      <c r="B68" s="22"/>
      <c r="C68" s="10"/>
      <c r="D68" s="10"/>
      <c r="E68" s="10"/>
      <c r="F68" s="10"/>
    </row>
    <row r="69" spans="1:6" ht="15.75">
      <c r="A69" s="21"/>
      <c r="B69" s="22"/>
      <c r="C69" s="10"/>
      <c r="D69" s="10"/>
      <c r="E69" s="10"/>
      <c r="F69" s="10"/>
    </row>
    <row r="70" spans="1:6" ht="15.75">
      <c r="A70" s="21"/>
      <c r="B70" s="22"/>
      <c r="C70" s="10"/>
      <c r="D70" s="10"/>
      <c r="E70" s="10"/>
      <c r="F70" s="10"/>
    </row>
    <row r="71" spans="1:6" ht="16" thickBot="1">
      <c r="A71" s="23"/>
      <c r="B71" s="24"/>
      <c r="C71" s="24"/>
      <c r="D71" s="24"/>
      <c r="E71" s="2"/>
      <c r="F71" s="2"/>
    </row>
    <row r="73" spans="1:26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4:16" ht="15.75"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1:16" ht="15.75">
      <c r="A75" s="29" t="s">
        <v>49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ht="90">
      <c r="A76" s="50" t="s">
        <v>18</v>
      </c>
      <c r="B76" s="51" t="s">
        <v>48</v>
      </c>
      <c r="C76" s="51" t="s">
        <v>35</v>
      </c>
      <c r="D76" s="51" t="s">
        <v>27</v>
      </c>
      <c r="E76" s="40" t="s">
        <v>28</v>
      </c>
      <c r="F76" s="40" t="s">
        <v>29</v>
      </c>
      <c r="G76" s="51" t="s">
        <v>33</v>
      </c>
      <c r="H76" s="51" t="s">
        <v>53</v>
      </c>
      <c r="I76" s="51" t="s">
        <v>54</v>
      </c>
      <c r="J76" s="51" t="s">
        <v>59</v>
      </c>
      <c r="N76" s="38"/>
      <c r="O76" s="38"/>
      <c r="P76" s="38"/>
    </row>
    <row r="77" spans="1:16" ht="15.75">
      <c r="A77" s="41">
        <v>0</v>
      </c>
      <c r="B77" s="42">
        <v>0</v>
      </c>
      <c r="C77" s="43">
        <f>-D41</f>
        <v>-2418</v>
      </c>
      <c r="D77" s="43">
        <f>B77+C77</f>
        <v>-2418</v>
      </c>
      <c r="E77" s="44">
        <f>B77+C77</f>
        <v>-2418</v>
      </c>
      <c r="F77" s="44">
        <f>NPV($D$11,D77)</f>
        <v>-2394.059405940594</v>
      </c>
      <c r="G77" s="43"/>
      <c r="H77" s="45">
        <f>D5</f>
        <v>100</v>
      </c>
      <c r="I77" s="46"/>
      <c r="J77" s="46"/>
      <c r="N77" s="38"/>
      <c r="O77" s="38"/>
      <c r="P77" s="38"/>
    </row>
    <row r="78" spans="1:16" ht="15.75">
      <c r="A78" s="47">
        <v>1</v>
      </c>
      <c r="B78" s="48">
        <f>J30+K30</f>
        <v>91.90610000000002</v>
      </c>
      <c r="C78" s="49">
        <v>0</v>
      </c>
      <c r="D78" s="43">
        <f>B78+C78</f>
        <v>91.90610000000002</v>
      </c>
      <c r="E78" s="44">
        <f aca="true" t="shared" si="10" ref="E78:E106">E77+$D78</f>
        <v>-2326.0939</v>
      </c>
      <c r="F78" s="44">
        <f>NPV($D$11,D77:D78)</f>
        <v>-2303.9642191941966</v>
      </c>
      <c r="G78" s="42">
        <f>IF(F78&lt;0,1,0)</f>
        <v>1</v>
      </c>
      <c r="H78" s="45">
        <f>D5</f>
        <v>100</v>
      </c>
      <c r="I78" s="45">
        <f>D12</f>
        <v>0</v>
      </c>
      <c r="J78" s="45">
        <f>IF(D12&gt;0,G30,I30)</f>
        <v>919.0610000000001</v>
      </c>
      <c r="N78" s="38"/>
      <c r="O78" s="38"/>
      <c r="P78" s="38"/>
    </row>
    <row r="79" spans="1:16" ht="15.75">
      <c r="A79" s="47">
        <v>2</v>
      </c>
      <c r="B79" s="48">
        <f aca="true" t="shared" si="11" ref="B79:B107">B78*(1+$D$38)*(1+$D$6)</f>
        <v>92.80677978000003</v>
      </c>
      <c r="C79" s="49">
        <v>0</v>
      </c>
      <c r="D79" s="43">
        <f>B79+C79</f>
        <v>92.80677978000003</v>
      </c>
      <c r="E79" s="44">
        <f t="shared" si="10"/>
        <v>-2233.28712022</v>
      </c>
      <c r="F79" s="44">
        <f>NPV($D$11,D77:D79)</f>
        <v>-2213.8868730788377</v>
      </c>
      <c r="G79" s="42">
        <f aca="true" t="shared" si="12" ref="G79:G107">IF(F79&lt;0,1,0)</f>
        <v>1</v>
      </c>
      <c r="H79" s="45">
        <f aca="true" t="shared" si="13" ref="H79:H107">(1+$D$6)*H78</f>
        <v>102</v>
      </c>
      <c r="I79" s="45">
        <f aca="true" t="shared" si="14" ref="I79:I107">(1+$D$6)*I78</f>
        <v>0</v>
      </c>
      <c r="J79" s="45">
        <f aca="true" t="shared" si="15" ref="J79:J107">J78*(1+$D$38)</f>
        <v>909.8703900000002</v>
      </c>
      <c r="N79" s="38"/>
      <c r="O79" s="38"/>
      <c r="P79" s="38"/>
    </row>
    <row r="80" spans="1:16" ht="15.75">
      <c r="A80" s="47">
        <v>3</v>
      </c>
      <c r="B80" s="48">
        <f t="shared" si="11"/>
        <v>93.71628622184403</v>
      </c>
      <c r="C80" s="49">
        <v>0</v>
      </c>
      <c r="D80" s="43">
        <f aca="true" t="shared" si="16" ref="D80:D107">B80+C80</f>
        <v>93.71628622184403</v>
      </c>
      <c r="E80" s="44">
        <f t="shared" si="10"/>
        <v>-2139.5708339981556</v>
      </c>
      <c r="F80" s="44">
        <f>NPV($D$11,D77:D80)</f>
        <v>-2123.82736406172</v>
      </c>
      <c r="G80" s="42">
        <f t="shared" si="12"/>
        <v>1</v>
      </c>
      <c r="H80" s="45">
        <f t="shared" si="13"/>
        <v>104.04</v>
      </c>
      <c r="I80" s="45">
        <f t="shared" si="14"/>
        <v>0</v>
      </c>
      <c r="J80" s="45">
        <f t="shared" si="15"/>
        <v>900.7716861000001</v>
      </c>
      <c r="N80" s="38"/>
      <c r="O80" s="38"/>
      <c r="P80" s="38"/>
    </row>
    <row r="81" spans="1:16" ht="15.75">
      <c r="A81" s="47">
        <v>4</v>
      </c>
      <c r="B81" s="48">
        <f t="shared" si="11"/>
        <v>94.6347058268181</v>
      </c>
      <c r="C81" s="49">
        <v>0</v>
      </c>
      <c r="D81" s="43">
        <f t="shared" si="16"/>
        <v>94.6347058268181</v>
      </c>
      <c r="E81" s="44">
        <f t="shared" si="10"/>
        <v>-2044.9361281713375</v>
      </c>
      <c r="F81" s="44">
        <f>NPV($D$11,E81)</f>
        <v>-2024.6892358132054</v>
      </c>
      <c r="G81" s="42">
        <f t="shared" si="12"/>
        <v>1</v>
      </c>
      <c r="H81" s="45">
        <f t="shared" si="13"/>
        <v>106.1208</v>
      </c>
      <c r="I81" s="45">
        <f t="shared" si="14"/>
        <v>0</v>
      </c>
      <c r="J81" s="45">
        <f t="shared" si="15"/>
        <v>891.7639692390001</v>
      </c>
      <c r="N81" s="38"/>
      <c r="O81" s="38"/>
      <c r="P81" s="38"/>
    </row>
    <row r="82" spans="1:16" ht="15.75">
      <c r="A82" s="47">
        <v>5</v>
      </c>
      <c r="B82" s="48">
        <f t="shared" si="11"/>
        <v>95.56212594392092</v>
      </c>
      <c r="C82" s="49">
        <v>0</v>
      </c>
      <c r="D82" s="43">
        <f t="shared" si="16"/>
        <v>95.56212594392092</v>
      </c>
      <c r="E82" s="44">
        <f t="shared" si="10"/>
        <v>-1949.3740022274167</v>
      </c>
      <c r="F82" s="44">
        <f>NPV($D$11,D77:D82)</f>
        <v>-1943.761843194511</v>
      </c>
      <c r="G82" s="42">
        <f t="shared" si="12"/>
        <v>1</v>
      </c>
      <c r="H82" s="45">
        <f t="shared" si="13"/>
        <v>108.243216</v>
      </c>
      <c r="I82" s="45">
        <f t="shared" si="14"/>
        <v>0</v>
      </c>
      <c r="J82" s="45">
        <f t="shared" si="15"/>
        <v>882.84632954661</v>
      </c>
      <c r="N82" s="38"/>
      <c r="O82" s="38"/>
      <c r="P82" s="38"/>
    </row>
    <row r="83" spans="1:16" ht="15.75">
      <c r="A83" s="47">
        <v>6</v>
      </c>
      <c r="B83" s="48">
        <f t="shared" si="11"/>
        <v>96.49863477817134</v>
      </c>
      <c r="C83" s="49">
        <v>0</v>
      </c>
      <c r="D83" s="43">
        <f t="shared" si="16"/>
        <v>96.49863477817134</v>
      </c>
      <c r="E83" s="44">
        <f t="shared" si="10"/>
        <v>-1852.8753674492452</v>
      </c>
      <c r="F83" s="44">
        <f>NPV($D$11,D77:D83)</f>
        <v>-1853.7558242823206</v>
      </c>
      <c r="G83" s="42">
        <f t="shared" si="12"/>
        <v>1</v>
      </c>
      <c r="H83" s="45">
        <f t="shared" si="13"/>
        <v>110.40808032000001</v>
      </c>
      <c r="I83" s="45">
        <f t="shared" si="14"/>
        <v>0</v>
      </c>
      <c r="J83" s="45">
        <f t="shared" si="15"/>
        <v>874.0178662511439</v>
      </c>
      <c r="N83" s="38"/>
      <c r="O83" s="38"/>
      <c r="P83" s="38"/>
    </row>
    <row r="84" spans="1:16" ht="15.75">
      <c r="A84" s="47">
        <v>7</v>
      </c>
      <c r="B84" s="48">
        <f t="shared" si="11"/>
        <v>97.44432139899742</v>
      </c>
      <c r="C84" s="49">
        <v>0</v>
      </c>
      <c r="D84" s="43">
        <f t="shared" si="16"/>
        <v>97.44432139899742</v>
      </c>
      <c r="E84" s="44">
        <f t="shared" si="10"/>
        <v>-1755.431046050248</v>
      </c>
      <c r="F84" s="44">
        <f>NPV($D$11,D77:D84)</f>
        <v>-1763.7676283441724</v>
      </c>
      <c r="G84" s="42">
        <f t="shared" si="12"/>
        <v>1</v>
      </c>
      <c r="H84" s="45">
        <f t="shared" si="13"/>
        <v>112.61624192640001</v>
      </c>
      <c r="I84" s="45">
        <f t="shared" si="14"/>
        <v>0</v>
      </c>
      <c r="J84" s="45">
        <f t="shared" si="15"/>
        <v>865.2776875886325</v>
      </c>
      <c r="N84" s="38"/>
      <c r="O84" s="38"/>
      <c r="P84" s="38"/>
    </row>
    <row r="85" spans="1:16" ht="15.75">
      <c r="A85" s="47">
        <v>8</v>
      </c>
      <c r="B85" s="48">
        <f t="shared" si="11"/>
        <v>98.3992757487076</v>
      </c>
      <c r="C85" s="49">
        <v>0</v>
      </c>
      <c r="D85" s="43">
        <f t="shared" si="16"/>
        <v>98.3992757487076</v>
      </c>
      <c r="E85" s="44">
        <f t="shared" si="10"/>
        <v>-1657.0317703015403</v>
      </c>
      <c r="F85" s="44">
        <f>NPV($D$11,D77:D85)</f>
        <v>-1673.7972518507645</v>
      </c>
      <c r="G85" s="42">
        <f t="shared" si="12"/>
        <v>1</v>
      </c>
      <c r="H85" s="45">
        <f t="shared" si="13"/>
        <v>114.868566764928</v>
      </c>
      <c r="I85" s="45">
        <f t="shared" si="14"/>
        <v>0</v>
      </c>
      <c r="J85" s="45">
        <f t="shared" si="15"/>
        <v>856.6249107127461</v>
      </c>
      <c r="N85" s="38"/>
      <c r="O85" s="38"/>
      <c r="P85" s="38"/>
    </row>
    <row r="86" spans="1:16" ht="15.75">
      <c r="A86" s="47">
        <v>9</v>
      </c>
      <c r="B86" s="48">
        <f t="shared" si="11"/>
        <v>99.36358865104494</v>
      </c>
      <c r="C86" s="49">
        <v>0</v>
      </c>
      <c r="D86" s="43">
        <f t="shared" si="16"/>
        <v>99.36358865104494</v>
      </c>
      <c r="E86" s="44">
        <f t="shared" si="10"/>
        <v>-1557.6681816504954</v>
      </c>
      <c r="F86" s="44">
        <f>NPV($D$11,D77:D86)</f>
        <v>-1583.8446912734937</v>
      </c>
      <c r="G86" s="42">
        <f t="shared" si="12"/>
        <v>1</v>
      </c>
      <c r="H86" s="45">
        <f t="shared" si="13"/>
        <v>117.16593810022657</v>
      </c>
      <c r="I86" s="45">
        <f t="shared" si="14"/>
        <v>0</v>
      </c>
      <c r="J86" s="45">
        <f t="shared" si="15"/>
        <v>848.0586616056187</v>
      </c>
      <c r="N86" s="38"/>
      <c r="O86" s="38"/>
      <c r="P86" s="38"/>
    </row>
    <row r="87" spans="1:16" ht="15.75">
      <c r="A87" s="47">
        <v>10</v>
      </c>
      <c r="B87" s="48">
        <f t="shared" si="11"/>
        <v>100.33735181982519</v>
      </c>
      <c r="C87" s="61">
        <f>-(D8*D42/2)</f>
        <v>-120.9</v>
      </c>
      <c r="D87" s="43">
        <f t="shared" si="16"/>
        <v>-20.56264818017482</v>
      </c>
      <c r="E87" s="44">
        <f t="shared" si="10"/>
        <v>-1578.2308298306702</v>
      </c>
      <c r="F87" s="44">
        <f>NPV($D$11,D77:D87)</f>
        <v>-1602.2754805323589</v>
      </c>
      <c r="G87" s="42">
        <f t="shared" si="12"/>
        <v>1</v>
      </c>
      <c r="H87" s="45">
        <f t="shared" si="13"/>
        <v>119.5092568622311</v>
      </c>
      <c r="I87" s="45">
        <f t="shared" si="14"/>
        <v>0</v>
      </c>
      <c r="J87" s="45">
        <f t="shared" si="15"/>
        <v>839.5780749895625</v>
      </c>
      <c r="N87" s="38"/>
      <c r="O87" s="38"/>
      <c r="P87" s="38"/>
    </row>
    <row r="88" spans="1:16" ht="15.75">
      <c r="A88" s="47">
        <v>11</v>
      </c>
      <c r="B88" s="48">
        <f t="shared" si="11"/>
        <v>101.32065786765946</v>
      </c>
      <c r="C88" s="49">
        <v>0</v>
      </c>
      <c r="D88" s="43">
        <f t="shared" si="16"/>
        <v>101.32065786765946</v>
      </c>
      <c r="E88" s="44">
        <f t="shared" si="10"/>
        <v>-1476.9101719630107</v>
      </c>
      <c r="F88" s="44">
        <f>NPV($D$11,D77:D88)</f>
        <v>-1512.3585412043487</v>
      </c>
      <c r="G88" s="42">
        <f t="shared" si="12"/>
        <v>1</v>
      </c>
      <c r="H88" s="45">
        <f t="shared" si="13"/>
        <v>121.89944199947573</v>
      </c>
      <c r="I88" s="45">
        <f t="shared" si="14"/>
        <v>0</v>
      </c>
      <c r="J88" s="45">
        <f t="shared" si="15"/>
        <v>831.1822942396669</v>
      </c>
      <c r="N88" s="38"/>
      <c r="O88" s="38"/>
      <c r="P88" s="38"/>
    </row>
    <row r="89" spans="1:16" ht="15.75">
      <c r="A89" s="47">
        <v>12</v>
      </c>
      <c r="B89" s="48">
        <f t="shared" si="11"/>
        <v>102.31360031476252</v>
      </c>
      <c r="C89" s="49">
        <v>0</v>
      </c>
      <c r="D89" s="43">
        <f t="shared" si="16"/>
        <v>102.31360031476252</v>
      </c>
      <c r="E89" s="44">
        <f t="shared" si="10"/>
        <v>-1374.5965716482483</v>
      </c>
      <c r="F89" s="44">
        <f>NPV($D$11,D77:D89)</f>
        <v>-1422.459407210859</v>
      </c>
      <c r="G89" s="42">
        <f t="shared" si="12"/>
        <v>1</v>
      </c>
      <c r="H89" s="45">
        <f t="shared" si="13"/>
        <v>124.33743083946524</v>
      </c>
      <c r="I89" s="45">
        <f t="shared" si="14"/>
        <v>0</v>
      </c>
      <c r="J89" s="45">
        <f t="shared" si="15"/>
        <v>822.8704712972702</v>
      </c>
      <c r="N89" s="38"/>
      <c r="O89" s="38"/>
      <c r="P89" s="38"/>
    </row>
    <row r="90" spans="1:16" ht="15.75">
      <c r="A90" s="47">
        <v>13</v>
      </c>
      <c r="B90" s="48">
        <f t="shared" si="11"/>
        <v>103.3162735978472</v>
      </c>
      <c r="C90" s="49">
        <v>0</v>
      </c>
      <c r="D90" s="43">
        <f t="shared" si="16"/>
        <v>103.3162735978472</v>
      </c>
      <c r="E90" s="44">
        <f t="shared" si="10"/>
        <v>-1271.2802980504011</v>
      </c>
      <c r="F90" s="44">
        <f>NPV($D$11,D77:D90)</f>
        <v>-1332.578075026081</v>
      </c>
      <c r="G90" s="42">
        <f t="shared" si="12"/>
        <v>1</v>
      </c>
      <c r="H90" s="45">
        <f t="shared" si="13"/>
        <v>126.82417945625456</v>
      </c>
      <c r="I90" s="45">
        <f t="shared" si="14"/>
        <v>0</v>
      </c>
      <c r="J90" s="45">
        <f t="shared" si="15"/>
        <v>814.6417665842976</v>
      </c>
      <c r="N90" s="38"/>
      <c r="O90" s="38"/>
      <c r="P90" s="38"/>
    </row>
    <row r="91" spans="1:16" ht="15.75">
      <c r="A91" s="47">
        <v>14</v>
      </c>
      <c r="B91" s="48">
        <f t="shared" si="11"/>
        <v>104.3287730791061</v>
      </c>
      <c r="C91" s="49">
        <v>0</v>
      </c>
      <c r="D91" s="43">
        <f t="shared" si="16"/>
        <v>104.3287730791061</v>
      </c>
      <c r="E91" s="44">
        <f t="shared" si="10"/>
        <v>-1166.951524971295</v>
      </c>
      <c r="F91" s="44">
        <f>NPV($D$11,D77:D91)</f>
        <v>-1242.7145411249037</v>
      </c>
      <c r="G91" s="42">
        <f t="shared" si="12"/>
        <v>1</v>
      </c>
      <c r="H91" s="45">
        <f t="shared" si="13"/>
        <v>129.36066304537965</v>
      </c>
      <c r="I91" s="45">
        <f t="shared" si="14"/>
        <v>0</v>
      </c>
      <c r="J91" s="45">
        <f t="shared" si="15"/>
        <v>806.4953489184546</v>
      </c>
      <c r="N91" s="38"/>
      <c r="O91" s="38"/>
      <c r="P91" s="38"/>
    </row>
    <row r="92" spans="1:16" ht="15.75">
      <c r="A92" s="47">
        <v>15</v>
      </c>
      <c r="B92" s="48">
        <f t="shared" si="11"/>
        <v>105.35119505528134</v>
      </c>
      <c r="C92" s="49">
        <v>0</v>
      </c>
      <c r="D92" s="43">
        <f t="shared" si="16"/>
        <v>105.35119505528134</v>
      </c>
      <c r="E92" s="44">
        <f t="shared" si="10"/>
        <v>-1061.6003299160136</v>
      </c>
      <c r="F92" s="44">
        <f>NPV($D$11,D77:D92)</f>
        <v>-1152.8688019829149</v>
      </c>
      <c r="G92" s="42">
        <f t="shared" si="12"/>
        <v>1</v>
      </c>
      <c r="H92" s="45">
        <f t="shared" si="13"/>
        <v>131.94787630628724</v>
      </c>
      <c r="I92" s="45">
        <f t="shared" si="14"/>
        <v>0</v>
      </c>
      <c r="J92" s="45">
        <f t="shared" si="15"/>
        <v>798.4303954292701</v>
      </c>
      <c r="N92" s="38"/>
      <c r="O92" s="38"/>
      <c r="P92" s="38"/>
    </row>
    <row r="93" spans="1:16" ht="15.75">
      <c r="A93" s="47">
        <v>16</v>
      </c>
      <c r="B93" s="48">
        <f t="shared" si="11"/>
        <v>106.38363676682309</v>
      </c>
      <c r="C93" s="49">
        <v>0</v>
      </c>
      <c r="D93" s="43">
        <f t="shared" si="16"/>
        <v>106.38363676682309</v>
      </c>
      <c r="E93" s="44">
        <f t="shared" si="10"/>
        <v>-955.2166931491905</v>
      </c>
      <c r="F93" s="44">
        <f>NPV($D$11,D77:D93)</f>
        <v>-1063.0408540763997</v>
      </c>
      <c r="G93" s="42">
        <f t="shared" si="12"/>
        <v>1</v>
      </c>
      <c r="H93" s="45">
        <f t="shared" si="13"/>
        <v>134.586833832413</v>
      </c>
      <c r="I93" s="45">
        <f t="shared" si="14"/>
        <v>0</v>
      </c>
      <c r="J93" s="45">
        <f t="shared" si="15"/>
        <v>790.4460914749774</v>
      </c>
      <c r="N93" s="38"/>
      <c r="O93" s="38"/>
      <c r="P93" s="38"/>
    </row>
    <row r="94" spans="1:16" ht="15.75">
      <c r="A94" s="47">
        <v>17</v>
      </c>
      <c r="B94" s="48">
        <f t="shared" si="11"/>
        <v>107.42619640713795</v>
      </c>
      <c r="C94" s="49">
        <v>0</v>
      </c>
      <c r="D94" s="43">
        <f t="shared" si="16"/>
        <v>107.42619640713795</v>
      </c>
      <c r="E94" s="44">
        <f t="shared" si="10"/>
        <v>-847.7904967420526</v>
      </c>
      <c r="F94" s="44">
        <f>NPV($D$11,D77:D94)</f>
        <v>-973.2306938823413</v>
      </c>
      <c r="G94" s="42">
        <f t="shared" si="12"/>
        <v>1</v>
      </c>
      <c r="H94" s="45">
        <f t="shared" si="13"/>
        <v>137.27857050906127</v>
      </c>
      <c r="I94" s="45">
        <f t="shared" si="14"/>
        <v>0</v>
      </c>
      <c r="J94" s="45">
        <f t="shared" si="15"/>
        <v>782.5416305602276</v>
      </c>
      <c r="N94" s="38"/>
      <c r="O94" s="38"/>
      <c r="P94" s="38"/>
    </row>
    <row r="95" spans="1:16" ht="15.75">
      <c r="A95" s="47">
        <v>18</v>
      </c>
      <c r="B95" s="48">
        <f t="shared" si="11"/>
        <v>108.4789731319279</v>
      </c>
      <c r="C95" s="49">
        <v>0</v>
      </c>
      <c r="D95" s="43">
        <f t="shared" si="16"/>
        <v>108.4789731319279</v>
      </c>
      <c r="E95" s="44">
        <f t="shared" si="10"/>
        <v>-739.3115236101247</v>
      </c>
      <c r="F95" s="44">
        <f>NPV($D$11,D77:D95)</f>
        <v>-883.4383178784202</v>
      </c>
      <c r="G95" s="42">
        <f t="shared" si="12"/>
        <v>1</v>
      </c>
      <c r="H95" s="45">
        <f t="shared" si="13"/>
        <v>140.0241419192425</v>
      </c>
      <c r="I95" s="45">
        <f t="shared" si="14"/>
        <v>0</v>
      </c>
      <c r="J95" s="45">
        <f t="shared" si="15"/>
        <v>774.7162142546254</v>
      </c>
      <c r="N95" s="38"/>
      <c r="O95" s="38"/>
      <c r="P95" s="38"/>
    </row>
    <row r="96" spans="1:16" ht="15.75">
      <c r="A96" s="47">
        <v>19</v>
      </c>
      <c r="B96" s="48">
        <f t="shared" si="11"/>
        <v>109.5420670686208</v>
      </c>
      <c r="C96" s="49">
        <v>0</v>
      </c>
      <c r="D96" s="43">
        <f t="shared" si="16"/>
        <v>109.5420670686208</v>
      </c>
      <c r="E96" s="44">
        <f t="shared" si="10"/>
        <v>-629.7694565415039</v>
      </c>
      <c r="F96" s="44">
        <f>NPV($D$11,D77:D96)</f>
        <v>-793.663722543015</v>
      </c>
      <c r="G96" s="42">
        <f t="shared" si="12"/>
        <v>1</v>
      </c>
      <c r="H96" s="45">
        <f t="shared" si="13"/>
        <v>142.82462475762736</v>
      </c>
      <c r="I96" s="45">
        <f t="shared" si="14"/>
        <v>0</v>
      </c>
      <c r="J96" s="45">
        <f t="shared" si="15"/>
        <v>766.9690521120791</v>
      </c>
      <c r="N96" s="38"/>
      <c r="O96" s="38"/>
      <c r="P96" s="38"/>
    </row>
    <row r="97" spans="1:16" ht="15.75">
      <c r="A97" s="47">
        <v>20</v>
      </c>
      <c r="B97" s="48">
        <f t="shared" si="11"/>
        <v>110.61557932589328</v>
      </c>
      <c r="C97" s="61">
        <f>-(D8*D42/2)</f>
        <v>-120.9</v>
      </c>
      <c r="D97" s="43">
        <f t="shared" si="16"/>
        <v>-10.284420674106727</v>
      </c>
      <c r="E97" s="44">
        <f t="shared" si="10"/>
        <v>-640.0538772156107</v>
      </c>
      <c r="F97" s="44">
        <f>NPV($D$11,D77:D97)</f>
        <v>-802.0088117450811</v>
      </c>
      <c r="G97" s="42">
        <f t="shared" si="12"/>
        <v>1</v>
      </c>
      <c r="H97" s="45">
        <f t="shared" si="13"/>
        <v>145.6811172527799</v>
      </c>
      <c r="I97" s="45">
        <f t="shared" si="14"/>
        <v>0</v>
      </c>
      <c r="J97" s="45">
        <f t="shared" si="15"/>
        <v>759.2993615909584</v>
      </c>
      <c r="N97" s="38"/>
      <c r="O97" s="38"/>
      <c r="P97" s="38"/>
    </row>
    <row r="98" spans="1:16" ht="15.75">
      <c r="A98" s="47">
        <v>21</v>
      </c>
      <c r="B98" s="48">
        <f t="shared" si="11"/>
        <v>111.69961200328703</v>
      </c>
      <c r="C98" s="49">
        <v>0</v>
      </c>
      <c r="D98" s="43">
        <f t="shared" si="16"/>
        <v>111.69961200328703</v>
      </c>
      <c r="E98" s="44">
        <f t="shared" si="10"/>
        <v>-528.3542652123236</v>
      </c>
      <c r="F98" s="44">
        <f>NPV($D$11,D77:D98)</f>
        <v>-712.2697671846307</v>
      </c>
      <c r="G98" s="42">
        <f t="shared" si="12"/>
        <v>1</v>
      </c>
      <c r="H98" s="45">
        <f t="shared" si="13"/>
        <v>148.5947395978355</v>
      </c>
      <c r="I98" s="45">
        <f t="shared" si="14"/>
        <v>0</v>
      </c>
      <c r="J98" s="45">
        <f t="shared" si="15"/>
        <v>751.7063679750488</v>
      </c>
      <c r="N98" s="38"/>
      <c r="O98" s="38"/>
      <c r="P98" s="38"/>
    </row>
    <row r="99" spans="1:16" ht="15.75">
      <c r="A99" s="47">
        <v>22</v>
      </c>
      <c r="B99" s="48">
        <f t="shared" si="11"/>
        <v>112.79426820091925</v>
      </c>
      <c r="C99" s="49">
        <v>0</v>
      </c>
      <c r="D99" s="43">
        <f t="shared" si="16"/>
        <v>112.79426820091925</v>
      </c>
      <c r="E99" s="44">
        <f t="shared" si="10"/>
        <v>-415.5599970114044</v>
      </c>
      <c r="F99" s="44">
        <f>NPV($D$11,D77:D99)</f>
        <v>-622.5484927320143</v>
      </c>
      <c r="G99" s="42">
        <f t="shared" si="12"/>
        <v>1</v>
      </c>
      <c r="H99" s="45">
        <f t="shared" si="13"/>
        <v>151.56663438979223</v>
      </c>
      <c r="I99" s="45">
        <f t="shared" si="14"/>
        <v>0</v>
      </c>
      <c r="J99" s="45">
        <f t="shared" si="15"/>
        <v>744.1893042952983</v>
      </c>
      <c r="N99" s="38"/>
      <c r="O99" s="38"/>
      <c r="P99" s="38"/>
    </row>
    <row r="100" spans="1:16" ht="15.75">
      <c r="A100" s="47">
        <v>23</v>
      </c>
      <c r="B100" s="48">
        <f t="shared" si="11"/>
        <v>113.89965202928826</v>
      </c>
      <c r="C100" s="49">
        <v>0</v>
      </c>
      <c r="D100" s="43">
        <f t="shared" si="16"/>
        <v>113.89965202928826</v>
      </c>
      <c r="E100" s="44">
        <f t="shared" si="10"/>
        <v>-301.66034498211616</v>
      </c>
      <c r="F100" s="44">
        <f>NPV($D$11,D77:D100)</f>
        <v>-532.8449848683983</v>
      </c>
      <c r="G100" s="42">
        <f t="shared" si="12"/>
        <v>1</v>
      </c>
      <c r="H100" s="45">
        <f t="shared" si="13"/>
        <v>154.59796707758807</v>
      </c>
      <c r="I100" s="45">
        <f t="shared" si="14"/>
        <v>0</v>
      </c>
      <c r="J100" s="45">
        <f t="shared" si="15"/>
        <v>736.7474112523453</v>
      </c>
      <c r="N100" s="38"/>
      <c r="O100" s="38"/>
      <c r="P100" s="38"/>
    </row>
    <row r="101" spans="1:16" ht="15.75">
      <c r="A101" s="47">
        <v>24</v>
      </c>
      <c r="B101" s="48">
        <f t="shared" si="11"/>
        <v>115.0158686191753</v>
      </c>
      <c r="C101" s="49">
        <v>0</v>
      </c>
      <c r="D101" s="43">
        <f t="shared" si="16"/>
        <v>115.0158686191753</v>
      </c>
      <c r="E101" s="44">
        <f t="shared" si="10"/>
        <v>-186.64447636294085</v>
      </c>
      <c r="F101" s="44">
        <f>NPV($D$11,D77:D101)</f>
        <v>-443.15924007564655</v>
      </c>
      <c r="G101" s="42">
        <f t="shared" si="12"/>
        <v>1</v>
      </c>
      <c r="H101" s="45">
        <f t="shared" si="13"/>
        <v>157.68992641913982</v>
      </c>
      <c r="I101" s="45">
        <f t="shared" si="14"/>
        <v>0</v>
      </c>
      <c r="J101" s="45">
        <f t="shared" si="15"/>
        <v>729.3799371398218</v>
      </c>
      <c r="N101" s="38"/>
      <c r="O101" s="38"/>
      <c r="P101" s="38"/>
    </row>
    <row r="102" spans="1:16" ht="15.75">
      <c r="A102" s="47">
        <v>25</v>
      </c>
      <c r="B102" s="48">
        <f t="shared" si="11"/>
        <v>116.1430241316432</v>
      </c>
      <c r="C102" s="49">
        <v>0</v>
      </c>
      <c r="D102" s="43">
        <f t="shared" si="16"/>
        <v>116.1430241316432</v>
      </c>
      <c r="E102" s="44">
        <f t="shared" si="10"/>
        <v>-70.50145223129765</v>
      </c>
      <c r="F102" s="44">
        <f>NPV($D$11,D77:D102)</f>
        <v>-353.491254836319</v>
      </c>
      <c r="G102" s="42">
        <f t="shared" si="12"/>
        <v>1</v>
      </c>
      <c r="H102" s="45">
        <f t="shared" si="13"/>
        <v>160.84372494752262</v>
      </c>
      <c r="I102" s="45">
        <f t="shared" si="14"/>
        <v>0</v>
      </c>
      <c r="J102" s="45">
        <f t="shared" si="15"/>
        <v>722.0861377684236</v>
      </c>
      <c r="N102" s="38"/>
      <c r="O102" s="38"/>
      <c r="P102" s="38"/>
    </row>
    <row r="103" spans="1:16" ht="15.75">
      <c r="A103" s="47">
        <v>26</v>
      </c>
      <c r="B103" s="48">
        <f t="shared" si="11"/>
        <v>117.2812257681333</v>
      </c>
      <c r="C103" s="49">
        <v>0</v>
      </c>
      <c r="D103" s="43">
        <f t="shared" si="16"/>
        <v>117.2812257681333</v>
      </c>
      <c r="E103" s="44">
        <f t="shared" si="10"/>
        <v>46.77977353683565</v>
      </c>
      <c r="F103" s="44">
        <f>NPV($D$11,D77:D103)</f>
        <v>-263.8410256336725</v>
      </c>
      <c r="G103" s="42">
        <f t="shared" si="12"/>
        <v>1</v>
      </c>
      <c r="H103" s="45">
        <f t="shared" si="13"/>
        <v>164.06059944647308</v>
      </c>
      <c r="I103" s="45">
        <f t="shared" si="14"/>
        <v>0</v>
      </c>
      <c r="J103" s="45">
        <f t="shared" si="15"/>
        <v>714.8652763907393</v>
      </c>
      <c r="N103" s="38"/>
      <c r="O103" s="38"/>
      <c r="P103" s="38"/>
    </row>
    <row r="104" spans="1:16" ht="15.75">
      <c r="A104" s="47">
        <v>27</v>
      </c>
      <c r="B104" s="48">
        <f t="shared" si="11"/>
        <v>118.43058178066102</v>
      </c>
      <c r="C104" s="49">
        <v>0</v>
      </c>
      <c r="D104" s="43">
        <f t="shared" si="16"/>
        <v>118.43058178066102</v>
      </c>
      <c r="E104" s="44">
        <f t="shared" si="10"/>
        <v>165.21035531749666</v>
      </c>
      <c r="F104" s="44">
        <f>NPV($D$11,D77:D104)</f>
        <v>-174.20854895166016</v>
      </c>
      <c r="G104" s="42">
        <f t="shared" si="12"/>
        <v>1</v>
      </c>
      <c r="H104" s="45">
        <f t="shared" si="13"/>
        <v>167.34181143540255</v>
      </c>
      <c r="I104" s="45">
        <f t="shared" si="14"/>
        <v>0</v>
      </c>
      <c r="J104" s="45">
        <f t="shared" si="15"/>
        <v>707.7166236268318</v>
      </c>
      <c r="N104" s="38"/>
      <c r="O104" s="38"/>
      <c r="P104" s="38"/>
    </row>
    <row r="105" spans="1:16" ht="15.75">
      <c r="A105" s="47">
        <v>28</v>
      </c>
      <c r="B105" s="48">
        <f t="shared" si="11"/>
        <v>119.59120148211149</v>
      </c>
      <c r="C105" s="49">
        <v>0</v>
      </c>
      <c r="D105" s="43">
        <f t="shared" si="16"/>
        <v>119.59120148211149</v>
      </c>
      <c r="E105" s="44">
        <f t="shared" si="10"/>
        <v>284.80155679960814</v>
      </c>
      <c r="F105" s="44">
        <f>NPV($D$11,D77:D105)</f>
        <v>-84.59382127493141</v>
      </c>
      <c r="G105" s="42">
        <f t="shared" si="12"/>
        <v>1</v>
      </c>
      <c r="H105" s="45">
        <f t="shared" si="13"/>
        <v>170.6886476641106</v>
      </c>
      <c r="I105" s="45">
        <f t="shared" si="14"/>
        <v>0</v>
      </c>
      <c r="J105" s="45">
        <f t="shared" si="15"/>
        <v>700.6394573905635</v>
      </c>
      <c r="N105" s="38"/>
      <c r="O105" s="38"/>
      <c r="P105" s="38"/>
    </row>
    <row r="106" spans="1:16" ht="15.75">
      <c r="A106" s="47">
        <v>29</v>
      </c>
      <c r="B106" s="48">
        <f t="shared" si="11"/>
        <v>120.76319525663618</v>
      </c>
      <c r="C106" s="49">
        <v>0</v>
      </c>
      <c r="D106" s="43">
        <f t="shared" si="16"/>
        <v>120.76319525663618</v>
      </c>
      <c r="E106" s="44">
        <f t="shared" si="10"/>
        <v>405.5647520562443</v>
      </c>
      <c r="F106" s="44">
        <f>NPV($D$11,D77:D106)</f>
        <v>5.003160911168267</v>
      </c>
      <c r="G106" s="42">
        <f t="shared" si="12"/>
        <v>0</v>
      </c>
      <c r="H106" s="45">
        <f t="shared" si="13"/>
        <v>174.1024206173928</v>
      </c>
      <c r="I106" s="45">
        <f t="shared" si="14"/>
        <v>0</v>
      </c>
      <c r="J106" s="45">
        <f t="shared" si="15"/>
        <v>693.6330628166579</v>
      </c>
      <c r="N106" s="38"/>
      <c r="O106" s="38"/>
      <c r="P106" s="38"/>
    </row>
    <row r="107" spans="1:16" ht="15.75">
      <c r="A107" s="47">
        <v>30</v>
      </c>
      <c r="B107" s="48">
        <f t="shared" si="11"/>
        <v>121.94667457015122</v>
      </c>
      <c r="C107" s="49">
        <v>0</v>
      </c>
      <c r="D107" s="43">
        <f t="shared" si="16"/>
        <v>121.94667457015122</v>
      </c>
      <c r="E107" s="44">
        <f>E106+$D107</f>
        <v>527.5114266263955</v>
      </c>
      <c r="F107" s="44">
        <f>NPV($D$11,D77:D107)</f>
        <v>94.58240112059744</v>
      </c>
      <c r="G107" s="42">
        <f t="shared" si="12"/>
        <v>0</v>
      </c>
      <c r="H107" s="45">
        <f t="shared" si="13"/>
        <v>177.58446902974066</v>
      </c>
      <c r="I107" s="45">
        <f t="shared" si="14"/>
        <v>0</v>
      </c>
      <c r="J107" s="45">
        <f t="shared" si="15"/>
        <v>686.6967321884913</v>
      </c>
      <c r="N107" s="38"/>
      <c r="O107" s="38"/>
      <c r="P107" s="38"/>
    </row>
    <row r="108" spans="1:16" ht="15.75">
      <c r="A108" s="39"/>
      <c r="B108" s="55">
        <f>NPV($D$11,B77:B107)</f>
        <v>2695.109251898975</v>
      </c>
      <c r="C108" s="56">
        <f>SUM(C77:C107)</f>
        <v>-2659.8</v>
      </c>
      <c r="D108" s="52">
        <f>NPV($D$11,D77:D107)</f>
        <v>94.58240112059744</v>
      </c>
      <c r="E108" s="2"/>
      <c r="G108" s="53">
        <f>SUM(G78:G107)</f>
        <v>28</v>
      </c>
      <c r="H108" s="54">
        <f>AVERAGE(H77:H107)</f>
        <v>134.09057808118615</v>
      </c>
      <c r="I108" s="54">
        <f>AVERAGE(I77:I107)</f>
        <v>0</v>
      </c>
      <c r="J108" s="62">
        <f>SUM(J78:J107)</f>
        <v>23923.123513339367</v>
      </c>
      <c r="N108" s="38"/>
      <c r="O108" s="38"/>
      <c r="P108" s="38"/>
    </row>
    <row r="109" spans="14:16" ht="15" customHeight="1">
      <c r="N109" s="38"/>
      <c r="O109" s="38"/>
      <c r="P109" s="38"/>
    </row>
    <row r="111" spans="1:3" ht="15" customHeight="1">
      <c r="A111" s="25" t="s">
        <v>14</v>
      </c>
      <c r="B111" s="10"/>
      <c r="C111" s="10"/>
    </row>
    <row r="112" spans="1:28" ht="15" customHeight="1">
      <c r="A112" s="26" t="str">
        <f>HYPERLINK("http://www.finsolar.net/?p=2107","Taustoitusta taloyhtiökäyttöön tehdystä investointilaskurista")</f>
        <v>Taustoitusta taloyhtiökäyttöön tehdystä investointilaskurista</v>
      </c>
      <c r="B112" s="10"/>
      <c r="C112" s="10"/>
      <c r="D112" s="10"/>
      <c r="E112" s="10"/>
      <c r="F112" s="10"/>
      <c r="G112" s="1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5" customHeight="1">
      <c r="A113" s="27" t="str">
        <f>HYPERLINK("http://re.jrc.ec.europa.eu/pvgis/apps4/pvest.php","PVGIS")</f>
        <v>PVGIS</v>
      </c>
      <c r="B113" s="10"/>
      <c r="C113" s="10"/>
      <c r="D113" s="2"/>
      <c r="E113" s="2"/>
      <c r="F113" s="2"/>
      <c r="G113" s="2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3" ht="15" customHeight="1">
      <c r="A114" s="28" t="s">
        <v>15</v>
      </c>
      <c r="B114" s="10"/>
      <c r="C114" s="10"/>
    </row>
    <row r="115" spans="1:3" ht="15" customHeight="1">
      <c r="A115" s="10" t="s">
        <v>26</v>
      </c>
      <c r="B115" s="10"/>
      <c r="C115" s="10"/>
    </row>
  </sheetData>
  <mergeCells count="33">
    <mergeCell ref="A27:B27"/>
    <mergeCell ref="A28:B28"/>
    <mergeCell ref="A29:B29"/>
    <mergeCell ref="A30:B30"/>
    <mergeCell ref="A31:B31"/>
    <mergeCell ref="A9:C9"/>
    <mergeCell ref="A7:C7"/>
    <mergeCell ref="A24:B24"/>
    <mergeCell ref="A25:B25"/>
    <mergeCell ref="A26:B26"/>
    <mergeCell ref="A12:C12"/>
    <mergeCell ref="A23:B23"/>
    <mergeCell ref="A18:B18"/>
    <mergeCell ref="A19:B19"/>
    <mergeCell ref="A20:B20"/>
    <mergeCell ref="A21:B21"/>
    <mergeCell ref="A22:B22"/>
    <mergeCell ref="A5:C5"/>
    <mergeCell ref="A34:C34"/>
    <mergeCell ref="A46:C46"/>
    <mergeCell ref="A49:C49"/>
    <mergeCell ref="A40:C40"/>
    <mergeCell ref="A36:C36"/>
    <mergeCell ref="A47:C47"/>
    <mergeCell ref="A10:C10"/>
    <mergeCell ref="A41:C41"/>
    <mergeCell ref="A35:C35"/>
    <mergeCell ref="A11:C11"/>
    <mergeCell ref="A6:C6"/>
    <mergeCell ref="A39:C39"/>
    <mergeCell ref="A38:C38"/>
    <mergeCell ref="A8:C8"/>
    <mergeCell ref="A42:C42"/>
  </mergeCells>
  <conditionalFormatting sqref="E77:F107">
    <cfRule type="colorScale" priority="5">
      <colorScale>
        <cfvo type="min" val="0"/>
        <cfvo type="percentile" val="50"/>
        <cfvo type="max"/>
        <color rgb="FFF8696B"/>
        <color rgb="FFFCFCFF"/>
        <color rgb="FF63BE7B"/>
      </colorScale>
    </cfRule>
    <cfRule type="cellIs" priority="6" dxfId="0" operator="greaterThan">
      <formula>1</formula>
    </cfRule>
  </conditionalFormatting>
  <hyperlinks>
    <hyperlink ref="A112" r:id="rId1" display="http://www.finsolar.net/?p=2107"/>
    <hyperlink ref="A113" r:id="rId2" display="http://re.jrc.ec.europa.eu/pvgis/apps4/pvest.php"/>
    <hyperlink ref="A114" r:id="rId3" display="http://solarelectricityhandbook.com/solar-irradiance.html"/>
  </hyperlinks>
  <printOptions/>
  <pageMargins left="0.75" right="0.75" top="1" bottom="1" header="0.5" footer="0.5"/>
  <pageSetup horizontalDpi="600" verticalDpi="600" orientation="portrait" paperSize="9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Jouni Juntunen</cp:lastModifiedBy>
  <dcterms:created xsi:type="dcterms:W3CDTF">2015-07-08T18:19:24Z</dcterms:created>
  <dcterms:modified xsi:type="dcterms:W3CDTF">2015-09-14T07:57:29Z</dcterms:modified>
  <cp:category/>
  <cp:version/>
  <cp:contentType/>
  <cp:contentStatus/>
</cp:coreProperties>
</file>